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tions\Reports\Judicial Business\2022 Judicial Business\Criminal Justice Act\"/>
    </mc:Choice>
  </mc:AlternateContent>
  <xr:revisionPtr revIDLastSave="0" documentId="13_ncr:1_{123099D4-E111-4CE8-B65F-C29BCA7FF984}" xr6:coauthVersionLast="47" xr6:coauthVersionMax="47" xr10:uidLastSave="{00000000-0000-0000-0000-000000000000}"/>
  <bookViews>
    <workbookView xWindow="22932" yWindow="-2328" windowWidth="30936" windowHeight="16896" xr2:uid="{C7119402-DE42-4A2F-AA98-2C355988756B}"/>
  </bookViews>
  <sheets>
    <sheet name="Formatted Repor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C14" i="1"/>
  <c r="F15" i="1"/>
  <c r="I15" i="1"/>
  <c r="L15" i="1"/>
  <c r="O15" i="1"/>
  <c r="F16" i="1"/>
  <c r="I16" i="1"/>
  <c r="L16" i="1"/>
  <c r="O16" i="1"/>
  <c r="F17" i="1"/>
  <c r="I17" i="1"/>
  <c r="L17" i="1"/>
  <c r="O17" i="1"/>
  <c r="C19" i="1"/>
  <c r="F20" i="1"/>
  <c r="I20" i="1"/>
  <c r="L20" i="1"/>
  <c r="O20" i="1"/>
  <c r="F21" i="1"/>
  <c r="I21" i="1"/>
  <c r="L21" i="1"/>
  <c r="O21" i="1"/>
  <c r="O19" i="1" s="1"/>
  <c r="F22" i="1"/>
  <c r="I22" i="1"/>
  <c r="L22" i="1"/>
  <c r="O22" i="1"/>
  <c r="C24" i="1"/>
  <c r="F25" i="1"/>
  <c r="I25" i="1"/>
  <c r="L25" i="1"/>
  <c r="O25" i="1"/>
  <c r="F26" i="1"/>
  <c r="I26" i="1"/>
  <c r="L26" i="1"/>
  <c r="O26" i="1"/>
  <c r="O24" i="1" s="1"/>
  <c r="F27" i="1"/>
  <c r="I27" i="1"/>
  <c r="L27" i="1"/>
  <c r="O27" i="1"/>
  <c r="C29" i="1"/>
  <c r="F30" i="1"/>
  <c r="I30" i="1"/>
  <c r="L30" i="1"/>
  <c r="O30" i="1"/>
  <c r="F31" i="1"/>
  <c r="I31" i="1"/>
  <c r="I29" i="1" s="1"/>
  <c r="L31" i="1"/>
  <c r="O31" i="1"/>
  <c r="F32" i="1"/>
  <c r="I32" i="1"/>
  <c r="L32" i="1"/>
  <c r="O32" i="1"/>
  <c r="C34" i="1"/>
  <c r="F35" i="1"/>
  <c r="I35" i="1"/>
  <c r="L35" i="1"/>
  <c r="O35" i="1"/>
  <c r="F36" i="1"/>
  <c r="I36" i="1"/>
  <c r="I34" i="1" s="1"/>
  <c r="L36" i="1"/>
  <c r="O36" i="1"/>
  <c r="O34" i="1" s="1"/>
  <c r="F37" i="1"/>
  <c r="I37" i="1"/>
  <c r="L37" i="1"/>
  <c r="O37" i="1"/>
  <c r="C39" i="1"/>
  <c r="F40" i="1"/>
  <c r="I40" i="1"/>
  <c r="L40" i="1"/>
  <c r="O40" i="1"/>
  <c r="F41" i="1"/>
  <c r="I41" i="1"/>
  <c r="L41" i="1"/>
  <c r="O41" i="1"/>
  <c r="F42" i="1"/>
  <c r="I42" i="1"/>
  <c r="L42" i="1"/>
  <c r="O42" i="1"/>
  <c r="A44" i="1"/>
  <c r="C50" i="1"/>
  <c r="F51" i="1"/>
  <c r="I51" i="1"/>
  <c r="L51" i="1"/>
  <c r="O51" i="1"/>
  <c r="F52" i="1"/>
  <c r="F50" i="1" s="1"/>
  <c r="I52" i="1"/>
  <c r="L52" i="1"/>
  <c r="O52" i="1"/>
  <c r="F53" i="1"/>
  <c r="I53" i="1"/>
  <c r="L53" i="1"/>
  <c r="O53" i="1"/>
  <c r="C55" i="1"/>
  <c r="F56" i="1"/>
  <c r="I56" i="1"/>
  <c r="L56" i="1"/>
  <c r="O56" i="1"/>
  <c r="F57" i="1"/>
  <c r="I57" i="1"/>
  <c r="L57" i="1"/>
  <c r="O57" i="1"/>
  <c r="F58" i="1"/>
  <c r="I58" i="1"/>
  <c r="L58" i="1"/>
  <c r="O58" i="1"/>
  <c r="C60" i="1"/>
  <c r="F61" i="1"/>
  <c r="I61" i="1"/>
  <c r="L61" i="1"/>
  <c r="O61" i="1"/>
  <c r="F62" i="1"/>
  <c r="I62" i="1"/>
  <c r="L62" i="1"/>
  <c r="O62" i="1"/>
  <c r="O60" i="1" s="1"/>
  <c r="F63" i="1"/>
  <c r="I63" i="1"/>
  <c r="L63" i="1"/>
  <c r="O63" i="1"/>
  <c r="C65" i="1"/>
  <c r="F66" i="1"/>
  <c r="I66" i="1"/>
  <c r="L66" i="1"/>
  <c r="O66" i="1"/>
  <c r="F67" i="1"/>
  <c r="I67" i="1"/>
  <c r="L67" i="1"/>
  <c r="O67" i="1"/>
  <c r="F68" i="1"/>
  <c r="I68" i="1"/>
  <c r="L68" i="1"/>
  <c r="O68" i="1"/>
  <c r="C70" i="1"/>
  <c r="F71" i="1"/>
  <c r="I71" i="1"/>
  <c r="L71" i="1"/>
  <c r="O71" i="1"/>
  <c r="F72" i="1"/>
  <c r="I72" i="1"/>
  <c r="L72" i="1"/>
  <c r="L70" i="1" s="1"/>
  <c r="O72" i="1"/>
  <c r="F73" i="1"/>
  <c r="I73" i="1"/>
  <c r="L73" i="1"/>
  <c r="O73" i="1"/>
  <c r="C75" i="1"/>
  <c r="F76" i="1"/>
  <c r="I76" i="1"/>
  <c r="L76" i="1"/>
  <c r="O76" i="1"/>
  <c r="F77" i="1"/>
  <c r="I77" i="1"/>
  <c r="L77" i="1"/>
  <c r="O77" i="1"/>
  <c r="F78" i="1"/>
  <c r="I78" i="1"/>
  <c r="L78" i="1"/>
  <c r="O78" i="1"/>
  <c r="C80" i="1"/>
  <c r="F81" i="1"/>
  <c r="I81" i="1"/>
  <c r="L81" i="1"/>
  <c r="O81" i="1"/>
  <c r="F82" i="1"/>
  <c r="F80" i="1" s="1"/>
  <c r="I82" i="1"/>
  <c r="L82" i="1"/>
  <c r="L80" i="1" s="1"/>
  <c r="O82" i="1"/>
  <c r="F83" i="1"/>
  <c r="I83" i="1"/>
  <c r="L83" i="1"/>
  <c r="O83" i="1"/>
  <c r="A86" i="1"/>
  <c r="C92" i="1"/>
  <c r="F93" i="1"/>
  <c r="I93" i="1"/>
  <c r="L93" i="1"/>
  <c r="O93" i="1"/>
  <c r="F94" i="1"/>
  <c r="I94" i="1"/>
  <c r="L94" i="1"/>
  <c r="O94" i="1"/>
  <c r="O92" i="1" s="1"/>
  <c r="F95" i="1"/>
  <c r="I95" i="1"/>
  <c r="L95" i="1"/>
  <c r="O95" i="1"/>
  <c r="C97" i="1"/>
  <c r="F98" i="1"/>
  <c r="I98" i="1"/>
  <c r="L98" i="1"/>
  <c r="O98" i="1"/>
  <c r="F99" i="1"/>
  <c r="I99" i="1"/>
  <c r="L99" i="1"/>
  <c r="O99" i="1"/>
  <c r="F100" i="1"/>
  <c r="I100" i="1"/>
  <c r="L100" i="1"/>
  <c r="O100" i="1"/>
  <c r="C102" i="1"/>
  <c r="F103" i="1"/>
  <c r="I103" i="1"/>
  <c r="L103" i="1"/>
  <c r="O103" i="1"/>
  <c r="F104" i="1"/>
  <c r="I104" i="1"/>
  <c r="I102" i="1" s="1"/>
  <c r="L104" i="1"/>
  <c r="O104" i="1"/>
  <c r="O102" i="1" s="1"/>
  <c r="F105" i="1"/>
  <c r="I105" i="1"/>
  <c r="L105" i="1"/>
  <c r="O105" i="1"/>
  <c r="C107" i="1"/>
  <c r="F108" i="1"/>
  <c r="I108" i="1"/>
  <c r="L108" i="1"/>
  <c r="O108" i="1"/>
  <c r="F109" i="1"/>
  <c r="I109" i="1"/>
  <c r="L109" i="1"/>
  <c r="O109" i="1"/>
  <c r="O107" i="1" s="1"/>
  <c r="F110" i="1"/>
  <c r="I110" i="1"/>
  <c r="L110" i="1"/>
  <c r="O110" i="1"/>
  <c r="C112" i="1"/>
  <c r="F113" i="1"/>
  <c r="I113" i="1"/>
  <c r="L113" i="1"/>
  <c r="O113" i="1"/>
  <c r="F114" i="1"/>
  <c r="I114" i="1"/>
  <c r="I112" i="1" s="1"/>
  <c r="L114" i="1"/>
  <c r="O114" i="1"/>
  <c r="F115" i="1"/>
  <c r="I115" i="1"/>
  <c r="L115" i="1"/>
  <c r="O115" i="1"/>
  <c r="C117" i="1"/>
  <c r="F118" i="1"/>
  <c r="I118" i="1"/>
  <c r="L118" i="1"/>
  <c r="O118" i="1"/>
  <c r="F119" i="1"/>
  <c r="I119" i="1"/>
  <c r="I117" i="1" s="1"/>
  <c r="L119" i="1"/>
  <c r="O119" i="1"/>
  <c r="O117" i="1" s="1"/>
  <c r="F120" i="1"/>
  <c r="I120" i="1"/>
  <c r="L120" i="1"/>
  <c r="O120" i="1"/>
  <c r="C122" i="1"/>
  <c r="F123" i="1"/>
  <c r="I123" i="1"/>
  <c r="L123" i="1"/>
  <c r="O123" i="1"/>
  <c r="F124" i="1"/>
  <c r="I124" i="1"/>
  <c r="L124" i="1"/>
  <c r="O124" i="1"/>
  <c r="F125" i="1"/>
  <c r="I125" i="1"/>
  <c r="L125" i="1"/>
  <c r="O125" i="1"/>
  <c r="A128" i="1"/>
  <c r="C134" i="1"/>
  <c r="F135" i="1"/>
  <c r="I135" i="1"/>
  <c r="L135" i="1"/>
  <c r="O135" i="1"/>
  <c r="F136" i="1"/>
  <c r="F134" i="1" s="1"/>
  <c r="I136" i="1"/>
  <c r="L136" i="1"/>
  <c r="O136" i="1"/>
  <c r="F137" i="1"/>
  <c r="I137" i="1"/>
  <c r="L137" i="1"/>
  <c r="O137" i="1"/>
  <c r="C139" i="1"/>
  <c r="F140" i="1"/>
  <c r="I140" i="1"/>
  <c r="L140" i="1"/>
  <c r="O140" i="1"/>
  <c r="F141" i="1"/>
  <c r="I141" i="1"/>
  <c r="L141" i="1"/>
  <c r="O141" i="1"/>
  <c r="F142" i="1"/>
  <c r="I142" i="1"/>
  <c r="L142" i="1"/>
  <c r="O142" i="1"/>
  <c r="C144" i="1"/>
  <c r="F145" i="1"/>
  <c r="I145" i="1"/>
  <c r="L145" i="1"/>
  <c r="O145" i="1"/>
  <c r="F146" i="1"/>
  <c r="I146" i="1"/>
  <c r="L146" i="1"/>
  <c r="O146" i="1"/>
  <c r="O144" i="1" s="1"/>
  <c r="F147" i="1"/>
  <c r="I147" i="1"/>
  <c r="L147" i="1"/>
  <c r="O147" i="1"/>
  <c r="C149" i="1"/>
  <c r="F150" i="1"/>
  <c r="I150" i="1"/>
  <c r="L150" i="1"/>
  <c r="O150" i="1"/>
  <c r="F151" i="1"/>
  <c r="I151" i="1"/>
  <c r="L151" i="1"/>
  <c r="O151" i="1"/>
  <c r="F152" i="1"/>
  <c r="I152" i="1"/>
  <c r="L152" i="1"/>
  <c r="O152" i="1"/>
  <c r="C154" i="1"/>
  <c r="F155" i="1"/>
  <c r="I155" i="1"/>
  <c r="L155" i="1"/>
  <c r="O155" i="1"/>
  <c r="F156" i="1"/>
  <c r="I156" i="1"/>
  <c r="L156" i="1"/>
  <c r="O156" i="1"/>
  <c r="F157" i="1"/>
  <c r="I157" i="1"/>
  <c r="L157" i="1"/>
  <c r="O157" i="1"/>
  <c r="C159" i="1"/>
  <c r="F160" i="1"/>
  <c r="I160" i="1"/>
  <c r="L160" i="1"/>
  <c r="O160" i="1"/>
  <c r="F161" i="1"/>
  <c r="I161" i="1"/>
  <c r="L161" i="1"/>
  <c r="O161" i="1"/>
  <c r="F162" i="1"/>
  <c r="I162" i="1"/>
  <c r="L162" i="1"/>
  <c r="O162" i="1"/>
  <c r="C164" i="1"/>
  <c r="F165" i="1"/>
  <c r="I165" i="1"/>
  <c r="L165" i="1"/>
  <c r="O165" i="1"/>
  <c r="F166" i="1"/>
  <c r="F164" i="1" s="1"/>
  <c r="I166" i="1"/>
  <c r="L166" i="1"/>
  <c r="L164" i="1" s="1"/>
  <c r="O166" i="1"/>
  <c r="F167" i="1"/>
  <c r="I167" i="1"/>
  <c r="L167" i="1"/>
  <c r="O167" i="1"/>
  <c r="A170" i="1"/>
  <c r="C176" i="1"/>
  <c r="F177" i="1"/>
  <c r="I177" i="1"/>
  <c r="L177" i="1"/>
  <c r="O177" i="1"/>
  <c r="F178" i="1"/>
  <c r="I178" i="1"/>
  <c r="L178" i="1"/>
  <c r="O178" i="1"/>
  <c r="O176" i="1" s="1"/>
  <c r="F179" i="1"/>
  <c r="I179" i="1"/>
  <c r="L179" i="1"/>
  <c r="O179" i="1"/>
  <c r="C181" i="1"/>
  <c r="F182" i="1"/>
  <c r="I182" i="1"/>
  <c r="L182" i="1"/>
  <c r="O182" i="1"/>
  <c r="F183" i="1"/>
  <c r="I183" i="1"/>
  <c r="L183" i="1"/>
  <c r="O183" i="1"/>
  <c r="F184" i="1"/>
  <c r="I184" i="1"/>
  <c r="L184" i="1"/>
  <c r="O184" i="1"/>
  <c r="C186" i="1"/>
  <c r="F187" i="1"/>
  <c r="I187" i="1"/>
  <c r="L187" i="1"/>
  <c r="O187" i="1"/>
  <c r="F188" i="1"/>
  <c r="I188" i="1"/>
  <c r="I186" i="1" s="1"/>
  <c r="L188" i="1"/>
  <c r="O188" i="1"/>
  <c r="F189" i="1"/>
  <c r="I189" i="1"/>
  <c r="L189" i="1"/>
  <c r="O189" i="1"/>
  <c r="C191" i="1"/>
  <c r="F192" i="1"/>
  <c r="I192" i="1"/>
  <c r="L192" i="1"/>
  <c r="O192" i="1"/>
  <c r="F193" i="1"/>
  <c r="I193" i="1"/>
  <c r="L193" i="1"/>
  <c r="L191" i="1" s="1"/>
  <c r="O193" i="1"/>
  <c r="O191" i="1" s="1"/>
  <c r="F194" i="1"/>
  <c r="I194" i="1"/>
  <c r="L194" i="1"/>
  <c r="O194" i="1"/>
  <c r="C196" i="1"/>
  <c r="F197" i="1"/>
  <c r="I197" i="1"/>
  <c r="L197" i="1"/>
  <c r="O197" i="1"/>
  <c r="F198" i="1"/>
  <c r="I198" i="1"/>
  <c r="L198" i="1"/>
  <c r="O198" i="1"/>
  <c r="F199" i="1"/>
  <c r="I199" i="1"/>
  <c r="L199" i="1"/>
  <c r="O199" i="1"/>
  <c r="C201" i="1"/>
  <c r="F202" i="1"/>
  <c r="I202" i="1"/>
  <c r="L202" i="1"/>
  <c r="O202" i="1"/>
  <c r="F203" i="1"/>
  <c r="F201" i="1" s="1"/>
  <c r="I203" i="1"/>
  <c r="I201" i="1" s="1"/>
  <c r="L203" i="1"/>
  <c r="O203" i="1"/>
  <c r="O201" i="1" s="1"/>
  <c r="F204" i="1"/>
  <c r="I204" i="1"/>
  <c r="L204" i="1"/>
  <c r="O204" i="1"/>
  <c r="C206" i="1"/>
  <c r="F207" i="1"/>
  <c r="I207" i="1"/>
  <c r="L207" i="1"/>
  <c r="O207" i="1"/>
  <c r="F208" i="1"/>
  <c r="I208" i="1"/>
  <c r="L208" i="1"/>
  <c r="O208" i="1"/>
  <c r="F209" i="1"/>
  <c r="I209" i="1"/>
  <c r="L209" i="1"/>
  <c r="O209" i="1"/>
  <c r="A212" i="1"/>
  <c r="C218" i="1"/>
  <c r="F219" i="1"/>
  <c r="I219" i="1"/>
  <c r="L219" i="1"/>
  <c r="O219" i="1"/>
  <c r="F220" i="1"/>
  <c r="F218" i="1" s="1"/>
  <c r="I220" i="1"/>
  <c r="L220" i="1"/>
  <c r="O220" i="1"/>
  <c r="F221" i="1"/>
  <c r="I221" i="1"/>
  <c r="L221" i="1"/>
  <c r="O221" i="1"/>
  <c r="C223" i="1"/>
  <c r="F224" i="1"/>
  <c r="I224" i="1"/>
  <c r="L224" i="1"/>
  <c r="O224" i="1"/>
  <c r="F225" i="1"/>
  <c r="I225" i="1"/>
  <c r="L225" i="1"/>
  <c r="O225" i="1"/>
  <c r="F226" i="1"/>
  <c r="I226" i="1"/>
  <c r="L226" i="1"/>
  <c r="O226" i="1"/>
  <c r="C228" i="1"/>
  <c r="F229" i="1"/>
  <c r="I229" i="1"/>
  <c r="L229" i="1"/>
  <c r="O229" i="1"/>
  <c r="F230" i="1"/>
  <c r="I230" i="1"/>
  <c r="L230" i="1"/>
  <c r="O230" i="1"/>
  <c r="F231" i="1"/>
  <c r="I231" i="1"/>
  <c r="L231" i="1"/>
  <c r="O231" i="1"/>
  <c r="C233" i="1"/>
  <c r="F234" i="1"/>
  <c r="I234" i="1"/>
  <c r="L234" i="1"/>
  <c r="O234" i="1"/>
  <c r="F235" i="1"/>
  <c r="I235" i="1"/>
  <c r="L235" i="1"/>
  <c r="O235" i="1"/>
  <c r="F236" i="1"/>
  <c r="I236" i="1"/>
  <c r="L236" i="1"/>
  <c r="O236" i="1"/>
  <c r="C238" i="1"/>
  <c r="F239" i="1"/>
  <c r="I239" i="1"/>
  <c r="L239" i="1"/>
  <c r="O239" i="1"/>
  <c r="F240" i="1"/>
  <c r="I240" i="1"/>
  <c r="I238" i="1" s="1"/>
  <c r="L240" i="1"/>
  <c r="L238" i="1" s="1"/>
  <c r="O240" i="1"/>
  <c r="F241" i="1"/>
  <c r="I241" i="1"/>
  <c r="L241" i="1"/>
  <c r="O241" i="1"/>
  <c r="C243" i="1"/>
  <c r="F244" i="1"/>
  <c r="I244" i="1"/>
  <c r="L244" i="1"/>
  <c r="O244" i="1"/>
  <c r="F245" i="1"/>
  <c r="I245" i="1"/>
  <c r="L245" i="1"/>
  <c r="O245" i="1"/>
  <c r="F246" i="1"/>
  <c r="I246" i="1"/>
  <c r="L246" i="1"/>
  <c r="O246" i="1"/>
  <c r="C248" i="1"/>
  <c r="F249" i="1"/>
  <c r="I249" i="1"/>
  <c r="L249" i="1"/>
  <c r="O249" i="1"/>
  <c r="F250" i="1"/>
  <c r="F248" i="1" s="1"/>
  <c r="I250" i="1"/>
  <c r="L250" i="1"/>
  <c r="L248" i="1" s="1"/>
  <c r="O250" i="1"/>
  <c r="F251" i="1"/>
  <c r="I251" i="1"/>
  <c r="L251" i="1"/>
  <c r="O251" i="1"/>
  <c r="A254" i="1"/>
  <c r="C260" i="1"/>
  <c r="F261" i="1"/>
  <c r="I261" i="1"/>
  <c r="L261" i="1"/>
  <c r="O261" i="1"/>
  <c r="F262" i="1"/>
  <c r="I262" i="1"/>
  <c r="L262" i="1"/>
  <c r="O262" i="1"/>
  <c r="F263" i="1"/>
  <c r="I263" i="1"/>
  <c r="L263" i="1"/>
  <c r="O263" i="1"/>
  <c r="C265" i="1"/>
  <c r="F266" i="1"/>
  <c r="I266" i="1"/>
  <c r="L266" i="1"/>
  <c r="O266" i="1"/>
  <c r="F267" i="1"/>
  <c r="I267" i="1"/>
  <c r="L267" i="1"/>
  <c r="O267" i="1"/>
  <c r="F268" i="1"/>
  <c r="I268" i="1"/>
  <c r="L268" i="1"/>
  <c r="O268" i="1"/>
  <c r="C270" i="1"/>
  <c r="F271" i="1"/>
  <c r="I271" i="1"/>
  <c r="L271" i="1"/>
  <c r="O271" i="1"/>
  <c r="F272" i="1"/>
  <c r="I272" i="1"/>
  <c r="L272" i="1"/>
  <c r="O272" i="1"/>
  <c r="F273" i="1"/>
  <c r="I273" i="1"/>
  <c r="L273" i="1"/>
  <c r="O273" i="1"/>
  <c r="C275" i="1"/>
  <c r="F276" i="1"/>
  <c r="I276" i="1"/>
  <c r="L276" i="1"/>
  <c r="O276" i="1"/>
  <c r="F277" i="1"/>
  <c r="I277" i="1"/>
  <c r="L277" i="1"/>
  <c r="L275" i="1" s="1"/>
  <c r="O277" i="1"/>
  <c r="O275" i="1" s="1"/>
  <c r="F278" i="1"/>
  <c r="I278" i="1"/>
  <c r="L278" i="1"/>
  <c r="O278" i="1"/>
  <c r="C280" i="1"/>
  <c r="F281" i="1"/>
  <c r="I281" i="1"/>
  <c r="L281" i="1"/>
  <c r="O281" i="1"/>
  <c r="F282" i="1"/>
  <c r="I282" i="1"/>
  <c r="L282" i="1"/>
  <c r="O282" i="1"/>
  <c r="F283" i="1"/>
  <c r="I283" i="1"/>
  <c r="L283" i="1"/>
  <c r="O283" i="1"/>
  <c r="C285" i="1"/>
  <c r="F286" i="1"/>
  <c r="I286" i="1"/>
  <c r="L286" i="1"/>
  <c r="O286" i="1"/>
  <c r="F287" i="1"/>
  <c r="F285" i="1" s="1"/>
  <c r="I287" i="1"/>
  <c r="I285" i="1" s="1"/>
  <c r="L287" i="1"/>
  <c r="O287" i="1"/>
  <c r="O285" i="1" s="1"/>
  <c r="F288" i="1"/>
  <c r="I288" i="1"/>
  <c r="L288" i="1"/>
  <c r="O288" i="1"/>
  <c r="C290" i="1"/>
  <c r="F291" i="1"/>
  <c r="I291" i="1"/>
  <c r="L291" i="1"/>
  <c r="O291" i="1"/>
  <c r="F292" i="1"/>
  <c r="I292" i="1"/>
  <c r="L292" i="1"/>
  <c r="O292" i="1"/>
  <c r="F293" i="1"/>
  <c r="I293" i="1"/>
  <c r="L293" i="1"/>
  <c r="O293" i="1"/>
  <c r="A296" i="1"/>
  <c r="C302" i="1"/>
  <c r="F303" i="1"/>
  <c r="I303" i="1"/>
  <c r="L303" i="1"/>
  <c r="O303" i="1"/>
  <c r="F304" i="1"/>
  <c r="F302" i="1" s="1"/>
  <c r="I304" i="1"/>
  <c r="L304" i="1"/>
  <c r="O304" i="1"/>
  <c r="F305" i="1"/>
  <c r="I305" i="1"/>
  <c r="L305" i="1"/>
  <c r="O305" i="1"/>
  <c r="C307" i="1"/>
  <c r="F308" i="1"/>
  <c r="I308" i="1"/>
  <c r="L308" i="1"/>
  <c r="O308" i="1"/>
  <c r="F309" i="1"/>
  <c r="I309" i="1"/>
  <c r="L309" i="1"/>
  <c r="O309" i="1"/>
  <c r="F310" i="1"/>
  <c r="I310" i="1"/>
  <c r="L310" i="1"/>
  <c r="O310" i="1"/>
  <c r="C312" i="1"/>
  <c r="F313" i="1"/>
  <c r="I313" i="1"/>
  <c r="L313" i="1"/>
  <c r="O313" i="1"/>
  <c r="F314" i="1"/>
  <c r="I314" i="1"/>
  <c r="L314" i="1"/>
  <c r="O314" i="1"/>
  <c r="F315" i="1"/>
  <c r="I315" i="1"/>
  <c r="L315" i="1"/>
  <c r="O315" i="1"/>
  <c r="C317" i="1"/>
  <c r="F318" i="1"/>
  <c r="I318" i="1"/>
  <c r="L318" i="1"/>
  <c r="O318" i="1"/>
  <c r="F319" i="1"/>
  <c r="I319" i="1"/>
  <c r="L319" i="1"/>
  <c r="O319" i="1"/>
  <c r="F320" i="1"/>
  <c r="I320" i="1"/>
  <c r="L320" i="1"/>
  <c r="O320" i="1"/>
  <c r="C322" i="1"/>
  <c r="F323" i="1"/>
  <c r="I323" i="1"/>
  <c r="L323" i="1"/>
  <c r="O323" i="1"/>
  <c r="F324" i="1"/>
  <c r="I324" i="1"/>
  <c r="I322" i="1" s="1"/>
  <c r="L324" i="1"/>
  <c r="L322" i="1" s="1"/>
  <c r="O324" i="1"/>
  <c r="F325" i="1"/>
  <c r="I325" i="1"/>
  <c r="L325" i="1"/>
  <c r="O325" i="1"/>
  <c r="C327" i="1"/>
  <c r="F328" i="1"/>
  <c r="F327" i="1" s="1"/>
  <c r="I328" i="1"/>
  <c r="L328" i="1"/>
  <c r="O328" i="1"/>
  <c r="F329" i="1"/>
  <c r="I329" i="1"/>
  <c r="L329" i="1"/>
  <c r="O329" i="1"/>
  <c r="O327" i="1" s="1"/>
  <c r="F330" i="1"/>
  <c r="I330" i="1"/>
  <c r="L330" i="1"/>
  <c r="O330" i="1"/>
  <c r="C332" i="1"/>
  <c r="F333" i="1"/>
  <c r="I333" i="1"/>
  <c r="L333" i="1"/>
  <c r="O333" i="1"/>
  <c r="F334" i="1"/>
  <c r="I334" i="1"/>
  <c r="L334" i="1"/>
  <c r="O334" i="1"/>
  <c r="F335" i="1"/>
  <c r="I335" i="1"/>
  <c r="L335" i="1"/>
  <c r="O335" i="1"/>
  <c r="A338" i="1"/>
  <c r="C344" i="1"/>
  <c r="F345" i="1"/>
  <c r="I345" i="1"/>
  <c r="L345" i="1"/>
  <c r="O345" i="1"/>
  <c r="F346" i="1"/>
  <c r="F344" i="1" s="1"/>
  <c r="I346" i="1"/>
  <c r="L346" i="1"/>
  <c r="O346" i="1"/>
  <c r="O344" i="1" s="1"/>
  <c r="F347" i="1"/>
  <c r="I347" i="1"/>
  <c r="L347" i="1"/>
  <c r="O347" i="1"/>
  <c r="C349" i="1"/>
  <c r="F350" i="1"/>
  <c r="I350" i="1"/>
  <c r="L350" i="1"/>
  <c r="O350" i="1"/>
  <c r="F351" i="1"/>
  <c r="I351" i="1"/>
  <c r="L351" i="1"/>
  <c r="O351" i="1"/>
  <c r="F352" i="1"/>
  <c r="I352" i="1"/>
  <c r="L352" i="1"/>
  <c r="O352" i="1"/>
  <c r="C354" i="1"/>
  <c r="F355" i="1"/>
  <c r="I355" i="1"/>
  <c r="L355" i="1"/>
  <c r="O355" i="1"/>
  <c r="F356" i="1"/>
  <c r="I356" i="1"/>
  <c r="L356" i="1"/>
  <c r="O356" i="1"/>
  <c r="F357" i="1"/>
  <c r="I357" i="1"/>
  <c r="L357" i="1"/>
  <c r="O357" i="1"/>
  <c r="C359" i="1"/>
  <c r="F360" i="1"/>
  <c r="I360" i="1"/>
  <c r="L360" i="1"/>
  <c r="O360" i="1"/>
  <c r="F361" i="1"/>
  <c r="I361" i="1"/>
  <c r="L361" i="1"/>
  <c r="L359" i="1" s="1"/>
  <c r="O361" i="1"/>
  <c r="F362" i="1"/>
  <c r="I362" i="1"/>
  <c r="L362" i="1"/>
  <c r="O362" i="1"/>
  <c r="C364" i="1"/>
  <c r="F365" i="1"/>
  <c r="I365" i="1"/>
  <c r="L365" i="1"/>
  <c r="O365" i="1"/>
  <c r="F366" i="1"/>
  <c r="I366" i="1"/>
  <c r="L366" i="1"/>
  <c r="O366" i="1"/>
  <c r="F367" i="1"/>
  <c r="I367" i="1"/>
  <c r="L367" i="1"/>
  <c r="O367" i="1"/>
  <c r="C369" i="1"/>
  <c r="I369" i="1"/>
  <c r="F370" i="1"/>
  <c r="I370" i="1"/>
  <c r="L370" i="1"/>
  <c r="O370" i="1"/>
  <c r="F371" i="1"/>
  <c r="I371" i="1"/>
  <c r="L371" i="1"/>
  <c r="O371" i="1"/>
  <c r="F372" i="1"/>
  <c r="I372" i="1"/>
  <c r="L372" i="1"/>
  <c r="O372" i="1"/>
  <c r="C374" i="1"/>
  <c r="F375" i="1"/>
  <c r="I375" i="1"/>
  <c r="L375" i="1"/>
  <c r="O375" i="1"/>
  <c r="F376" i="1"/>
  <c r="F374" i="1" s="1"/>
  <c r="I376" i="1"/>
  <c r="L376" i="1"/>
  <c r="O376" i="1"/>
  <c r="F377" i="1"/>
  <c r="I377" i="1"/>
  <c r="L377" i="1"/>
  <c r="O377" i="1"/>
  <c r="A380" i="1"/>
  <c r="C386" i="1"/>
  <c r="F387" i="1"/>
  <c r="I387" i="1"/>
  <c r="L387" i="1"/>
  <c r="O387" i="1"/>
  <c r="F388" i="1"/>
  <c r="I388" i="1"/>
  <c r="L388" i="1"/>
  <c r="O388" i="1"/>
  <c r="O386" i="1" s="1"/>
  <c r="F389" i="1"/>
  <c r="I389" i="1"/>
  <c r="L389" i="1"/>
  <c r="O389" i="1"/>
  <c r="C391" i="1"/>
  <c r="F392" i="1"/>
  <c r="I392" i="1"/>
  <c r="L392" i="1"/>
  <c r="O392" i="1"/>
  <c r="F393" i="1"/>
  <c r="I393" i="1"/>
  <c r="L393" i="1"/>
  <c r="O393" i="1"/>
  <c r="F394" i="1"/>
  <c r="I394" i="1"/>
  <c r="L394" i="1"/>
  <c r="O394" i="1"/>
  <c r="C396" i="1"/>
  <c r="F397" i="1"/>
  <c r="I397" i="1"/>
  <c r="L397" i="1"/>
  <c r="O397" i="1"/>
  <c r="F398" i="1"/>
  <c r="I398" i="1"/>
  <c r="L398" i="1"/>
  <c r="O398" i="1"/>
  <c r="F399" i="1"/>
  <c r="I399" i="1"/>
  <c r="L399" i="1"/>
  <c r="O399" i="1"/>
  <c r="C401" i="1"/>
  <c r="F402" i="1"/>
  <c r="I402" i="1"/>
  <c r="L402" i="1"/>
  <c r="O402" i="1"/>
  <c r="F403" i="1"/>
  <c r="I403" i="1"/>
  <c r="L403" i="1"/>
  <c r="O403" i="1"/>
  <c r="O401" i="1" s="1"/>
  <c r="F404" i="1"/>
  <c r="I404" i="1"/>
  <c r="L404" i="1"/>
  <c r="O404" i="1"/>
  <c r="C406" i="1"/>
  <c r="F407" i="1"/>
  <c r="I407" i="1"/>
  <c r="L407" i="1"/>
  <c r="O407" i="1"/>
  <c r="F408" i="1"/>
  <c r="I408" i="1"/>
  <c r="I406" i="1" s="1"/>
  <c r="L408" i="1"/>
  <c r="O408" i="1"/>
  <c r="F409" i="1"/>
  <c r="I409" i="1"/>
  <c r="L409" i="1"/>
  <c r="O409" i="1"/>
  <c r="C411" i="1"/>
  <c r="F412" i="1"/>
  <c r="I412" i="1"/>
  <c r="I411" i="1" s="1"/>
  <c r="L412" i="1"/>
  <c r="O412" i="1"/>
  <c r="F413" i="1"/>
  <c r="F411" i="1" s="1"/>
  <c r="I413" i="1"/>
  <c r="L413" i="1"/>
  <c r="O413" i="1"/>
  <c r="F414" i="1"/>
  <c r="I414" i="1"/>
  <c r="L414" i="1"/>
  <c r="O414" i="1"/>
  <c r="C416" i="1"/>
  <c r="F417" i="1"/>
  <c r="I417" i="1"/>
  <c r="L417" i="1"/>
  <c r="O417" i="1"/>
  <c r="F418" i="1"/>
  <c r="I418" i="1"/>
  <c r="L418" i="1"/>
  <c r="O418" i="1"/>
  <c r="F419" i="1"/>
  <c r="I419" i="1"/>
  <c r="L419" i="1"/>
  <c r="O419" i="1"/>
  <c r="A422" i="1"/>
  <c r="C428" i="1"/>
  <c r="F429" i="1"/>
  <c r="I429" i="1"/>
  <c r="L429" i="1"/>
  <c r="O429" i="1"/>
  <c r="F430" i="1"/>
  <c r="I430" i="1"/>
  <c r="L430" i="1"/>
  <c r="O430" i="1"/>
  <c r="O428" i="1" s="1"/>
  <c r="F431" i="1"/>
  <c r="I431" i="1"/>
  <c r="L431" i="1"/>
  <c r="O431" i="1"/>
  <c r="C433" i="1"/>
  <c r="F434" i="1"/>
  <c r="I434" i="1"/>
  <c r="L434" i="1"/>
  <c r="O434" i="1"/>
  <c r="F435" i="1"/>
  <c r="I435" i="1"/>
  <c r="L435" i="1"/>
  <c r="O435" i="1"/>
  <c r="F436" i="1"/>
  <c r="I436" i="1"/>
  <c r="L436" i="1"/>
  <c r="O436" i="1"/>
  <c r="C438" i="1"/>
  <c r="F439" i="1"/>
  <c r="I439" i="1"/>
  <c r="L439" i="1"/>
  <c r="O439" i="1"/>
  <c r="F440" i="1"/>
  <c r="I440" i="1"/>
  <c r="L440" i="1"/>
  <c r="O440" i="1"/>
  <c r="F441" i="1"/>
  <c r="I441" i="1"/>
  <c r="L441" i="1"/>
  <c r="O441" i="1"/>
  <c r="C443" i="1"/>
  <c r="F444" i="1"/>
  <c r="I444" i="1"/>
  <c r="L444" i="1"/>
  <c r="O444" i="1"/>
  <c r="F445" i="1"/>
  <c r="I445" i="1"/>
  <c r="L445" i="1"/>
  <c r="O445" i="1"/>
  <c r="F446" i="1"/>
  <c r="I446" i="1"/>
  <c r="L446" i="1"/>
  <c r="O446" i="1"/>
  <c r="C448" i="1"/>
  <c r="F449" i="1"/>
  <c r="I449" i="1"/>
  <c r="L449" i="1"/>
  <c r="O449" i="1"/>
  <c r="F450" i="1"/>
  <c r="I450" i="1"/>
  <c r="I448" i="1" s="1"/>
  <c r="L450" i="1"/>
  <c r="L448" i="1" s="1"/>
  <c r="O450" i="1"/>
  <c r="F451" i="1"/>
  <c r="I451" i="1"/>
  <c r="L451" i="1"/>
  <c r="O451" i="1"/>
  <c r="C453" i="1"/>
  <c r="I453" i="1"/>
  <c r="F454" i="1"/>
  <c r="I454" i="1"/>
  <c r="L454" i="1"/>
  <c r="O454" i="1"/>
  <c r="F455" i="1"/>
  <c r="I455" i="1"/>
  <c r="L455" i="1"/>
  <c r="O455" i="1"/>
  <c r="O453" i="1" s="1"/>
  <c r="F456" i="1"/>
  <c r="I456" i="1"/>
  <c r="L456" i="1"/>
  <c r="O456" i="1"/>
  <c r="C458" i="1"/>
  <c r="F459" i="1"/>
  <c r="I459" i="1"/>
  <c r="L459" i="1"/>
  <c r="O459" i="1"/>
  <c r="F460" i="1"/>
  <c r="I460" i="1"/>
  <c r="L460" i="1"/>
  <c r="O460" i="1"/>
  <c r="F461" i="1"/>
  <c r="I461" i="1"/>
  <c r="L461" i="1"/>
  <c r="O461" i="1"/>
  <c r="A464" i="1"/>
  <c r="C470" i="1"/>
  <c r="F471" i="1"/>
  <c r="I471" i="1"/>
  <c r="L471" i="1"/>
  <c r="O471" i="1"/>
  <c r="F472" i="1"/>
  <c r="F470" i="1" s="1"/>
  <c r="I472" i="1"/>
  <c r="L472" i="1"/>
  <c r="O472" i="1"/>
  <c r="O470" i="1" s="1"/>
  <c r="F473" i="1"/>
  <c r="I473" i="1"/>
  <c r="L473" i="1"/>
  <c r="O473" i="1"/>
  <c r="C475" i="1"/>
  <c r="F476" i="1"/>
  <c r="I476" i="1"/>
  <c r="L476" i="1"/>
  <c r="O476" i="1"/>
  <c r="F477" i="1"/>
  <c r="I477" i="1"/>
  <c r="L477" i="1"/>
  <c r="O477" i="1"/>
  <c r="F478" i="1"/>
  <c r="I478" i="1"/>
  <c r="L478" i="1"/>
  <c r="O478" i="1"/>
  <c r="C480" i="1"/>
  <c r="F481" i="1"/>
  <c r="I481" i="1"/>
  <c r="L481" i="1"/>
  <c r="O481" i="1"/>
  <c r="F482" i="1"/>
  <c r="I482" i="1"/>
  <c r="I480" i="1" s="1"/>
  <c r="L482" i="1"/>
  <c r="O482" i="1"/>
  <c r="F483" i="1"/>
  <c r="I483" i="1"/>
  <c r="L483" i="1"/>
  <c r="O483" i="1"/>
  <c r="C485" i="1"/>
  <c r="F486" i="1"/>
  <c r="I486" i="1"/>
  <c r="L486" i="1"/>
  <c r="O486" i="1"/>
  <c r="F487" i="1"/>
  <c r="I487" i="1"/>
  <c r="L487" i="1"/>
  <c r="L485" i="1" s="1"/>
  <c r="O487" i="1"/>
  <c r="F488" i="1"/>
  <c r="I488" i="1"/>
  <c r="L488" i="1"/>
  <c r="O488" i="1"/>
  <c r="C490" i="1"/>
  <c r="F491" i="1"/>
  <c r="I491" i="1"/>
  <c r="L491" i="1"/>
  <c r="O491" i="1"/>
  <c r="F492" i="1"/>
  <c r="I492" i="1"/>
  <c r="L492" i="1"/>
  <c r="L490" i="1" s="1"/>
  <c r="O492" i="1"/>
  <c r="F493" i="1"/>
  <c r="I493" i="1"/>
  <c r="L493" i="1"/>
  <c r="O493" i="1"/>
  <c r="C495" i="1"/>
  <c r="I495" i="1"/>
  <c r="F496" i="1"/>
  <c r="I496" i="1"/>
  <c r="L496" i="1"/>
  <c r="O496" i="1"/>
  <c r="F497" i="1"/>
  <c r="I497" i="1"/>
  <c r="L497" i="1"/>
  <c r="O497" i="1"/>
  <c r="F498" i="1"/>
  <c r="I498" i="1"/>
  <c r="L498" i="1"/>
  <c r="O498" i="1"/>
  <c r="C500" i="1"/>
  <c r="F501" i="1"/>
  <c r="I501" i="1"/>
  <c r="L501" i="1"/>
  <c r="O501" i="1"/>
  <c r="F502" i="1"/>
  <c r="I502" i="1"/>
  <c r="L502" i="1"/>
  <c r="L500" i="1" s="1"/>
  <c r="O502" i="1"/>
  <c r="F503" i="1"/>
  <c r="I503" i="1"/>
  <c r="L503" i="1"/>
  <c r="O503" i="1"/>
  <c r="A506" i="1"/>
  <c r="C512" i="1"/>
  <c r="F513" i="1"/>
  <c r="I513" i="1"/>
  <c r="L513" i="1"/>
  <c r="O513" i="1"/>
  <c r="F514" i="1"/>
  <c r="I514" i="1"/>
  <c r="L514" i="1"/>
  <c r="O514" i="1"/>
  <c r="O512" i="1" s="1"/>
  <c r="F515" i="1"/>
  <c r="I515" i="1"/>
  <c r="L515" i="1"/>
  <c r="O515" i="1"/>
  <c r="C517" i="1"/>
  <c r="F518" i="1"/>
  <c r="I518" i="1"/>
  <c r="L518" i="1"/>
  <c r="O518" i="1"/>
  <c r="F519" i="1"/>
  <c r="I519" i="1"/>
  <c r="L519" i="1"/>
  <c r="O519" i="1"/>
  <c r="F520" i="1"/>
  <c r="I520" i="1"/>
  <c r="L520" i="1"/>
  <c r="O520" i="1"/>
  <c r="C522" i="1"/>
  <c r="F523" i="1"/>
  <c r="I523" i="1"/>
  <c r="L523" i="1"/>
  <c r="O523" i="1"/>
  <c r="F524" i="1"/>
  <c r="I524" i="1"/>
  <c r="I522" i="1" s="1"/>
  <c r="L524" i="1"/>
  <c r="O524" i="1"/>
  <c r="F525" i="1"/>
  <c r="I525" i="1"/>
  <c r="L525" i="1"/>
  <c r="O525" i="1"/>
  <c r="C527" i="1"/>
  <c r="F528" i="1"/>
  <c r="I528" i="1"/>
  <c r="L528" i="1"/>
  <c r="O528" i="1"/>
  <c r="F529" i="1"/>
  <c r="I529" i="1"/>
  <c r="L529" i="1"/>
  <c r="L527" i="1" s="1"/>
  <c r="O529" i="1"/>
  <c r="F530" i="1"/>
  <c r="I530" i="1"/>
  <c r="L530" i="1"/>
  <c r="O530" i="1"/>
  <c r="C532" i="1"/>
  <c r="F533" i="1"/>
  <c r="I533" i="1"/>
  <c r="L533" i="1"/>
  <c r="O533" i="1"/>
  <c r="F534" i="1"/>
  <c r="I534" i="1"/>
  <c r="L534" i="1"/>
  <c r="L532" i="1" s="1"/>
  <c r="O534" i="1"/>
  <c r="F535" i="1"/>
  <c r="I535" i="1"/>
  <c r="L535" i="1"/>
  <c r="O535" i="1"/>
  <c r="C537" i="1"/>
  <c r="F538" i="1"/>
  <c r="I538" i="1"/>
  <c r="I537" i="1" s="1"/>
  <c r="L538" i="1"/>
  <c r="O538" i="1"/>
  <c r="F539" i="1"/>
  <c r="I539" i="1"/>
  <c r="L539" i="1"/>
  <c r="O539" i="1"/>
  <c r="F540" i="1"/>
  <c r="I540" i="1"/>
  <c r="L540" i="1"/>
  <c r="O540" i="1"/>
  <c r="C542" i="1"/>
  <c r="F543" i="1"/>
  <c r="I543" i="1"/>
  <c r="L543" i="1"/>
  <c r="O543" i="1"/>
  <c r="F544" i="1"/>
  <c r="I544" i="1"/>
  <c r="L544" i="1"/>
  <c r="L542" i="1" s="1"/>
  <c r="O544" i="1"/>
  <c r="F545" i="1"/>
  <c r="I545" i="1"/>
  <c r="L545" i="1"/>
  <c r="O545" i="1"/>
  <c r="A548" i="1"/>
  <c r="C554" i="1"/>
  <c r="F555" i="1"/>
  <c r="I555" i="1"/>
  <c r="L555" i="1"/>
  <c r="O555" i="1"/>
  <c r="O554" i="1" s="1"/>
  <c r="F556" i="1"/>
  <c r="I556" i="1"/>
  <c r="L556" i="1"/>
  <c r="O556" i="1"/>
  <c r="F557" i="1"/>
  <c r="I557" i="1"/>
  <c r="L557" i="1"/>
  <c r="O557" i="1"/>
  <c r="C559" i="1"/>
  <c r="F560" i="1"/>
  <c r="I560" i="1"/>
  <c r="L560" i="1"/>
  <c r="O560" i="1"/>
  <c r="F561" i="1"/>
  <c r="I561" i="1"/>
  <c r="L561" i="1"/>
  <c r="O561" i="1"/>
  <c r="F562" i="1"/>
  <c r="I562" i="1"/>
  <c r="L562" i="1"/>
  <c r="O562" i="1"/>
  <c r="C564" i="1"/>
  <c r="F565" i="1"/>
  <c r="I565" i="1"/>
  <c r="L565" i="1"/>
  <c r="O565" i="1"/>
  <c r="F566" i="1"/>
  <c r="I566" i="1"/>
  <c r="L566" i="1"/>
  <c r="O566" i="1"/>
  <c r="F567" i="1"/>
  <c r="I567" i="1"/>
  <c r="L567" i="1"/>
  <c r="O567" i="1"/>
  <c r="C569" i="1"/>
  <c r="F570" i="1"/>
  <c r="I570" i="1"/>
  <c r="L570" i="1"/>
  <c r="O570" i="1"/>
  <c r="F571" i="1"/>
  <c r="I571" i="1"/>
  <c r="L571" i="1"/>
  <c r="L569" i="1" s="1"/>
  <c r="O571" i="1"/>
  <c r="F572" i="1"/>
  <c r="I572" i="1"/>
  <c r="L572" i="1"/>
  <c r="O572" i="1"/>
  <c r="C574" i="1"/>
  <c r="F575" i="1"/>
  <c r="I575" i="1"/>
  <c r="L575" i="1"/>
  <c r="O575" i="1"/>
  <c r="F576" i="1"/>
  <c r="I576" i="1"/>
  <c r="L576" i="1"/>
  <c r="L574" i="1" s="1"/>
  <c r="O576" i="1"/>
  <c r="O574" i="1" s="1"/>
  <c r="F577" i="1"/>
  <c r="I577" i="1"/>
  <c r="L577" i="1"/>
  <c r="O577" i="1"/>
  <c r="C579" i="1"/>
  <c r="F580" i="1"/>
  <c r="I580" i="1"/>
  <c r="L580" i="1"/>
  <c r="O580" i="1"/>
  <c r="F581" i="1"/>
  <c r="I581" i="1"/>
  <c r="L581" i="1"/>
  <c r="O581" i="1"/>
  <c r="F582" i="1"/>
  <c r="I582" i="1"/>
  <c r="L582" i="1"/>
  <c r="O582" i="1"/>
  <c r="C584" i="1"/>
  <c r="F585" i="1"/>
  <c r="I585" i="1"/>
  <c r="L585" i="1"/>
  <c r="O585" i="1"/>
  <c r="F586" i="1"/>
  <c r="F584" i="1" s="1"/>
  <c r="I586" i="1"/>
  <c r="L586" i="1"/>
  <c r="L584" i="1" s="1"/>
  <c r="O586" i="1"/>
  <c r="F587" i="1"/>
  <c r="I587" i="1"/>
  <c r="L587" i="1"/>
  <c r="O587" i="1"/>
  <c r="A590" i="1"/>
  <c r="C596" i="1"/>
  <c r="F597" i="1"/>
  <c r="I597" i="1"/>
  <c r="L597" i="1"/>
  <c r="O597" i="1"/>
  <c r="F598" i="1"/>
  <c r="I598" i="1"/>
  <c r="L598" i="1"/>
  <c r="O598" i="1"/>
  <c r="F599" i="1"/>
  <c r="I599" i="1"/>
  <c r="L599" i="1"/>
  <c r="O599" i="1"/>
  <c r="C601" i="1"/>
  <c r="F602" i="1"/>
  <c r="I602" i="1"/>
  <c r="L602" i="1"/>
  <c r="O602" i="1"/>
  <c r="F603" i="1"/>
  <c r="I603" i="1"/>
  <c r="L603" i="1"/>
  <c r="O603" i="1"/>
  <c r="F604" i="1"/>
  <c r="I604" i="1"/>
  <c r="L604" i="1"/>
  <c r="O604" i="1"/>
  <c r="C606" i="1"/>
  <c r="F607" i="1"/>
  <c r="I607" i="1"/>
  <c r="L607" i="1"/>
  <c r="O607" i="1"/>
  <c r="F608" i="1"/>
  <c r="I608" i="1"/>
  <c r="L608" i="1"/>
  <c r="O608" i="1"/>
  <c r="F609" i="1"/>
  <c r="I609" i="1"/>
  <c r="L609" i="1"/>
  <c r="O609" i="1"/>
  <c r="F569" i="1" l="1"/>
  <c r="L537" i="1"/>
  <c r="F532" i="1"/>
  <c r="L522" i="1"/>
  <c r="F512" i="1"/>
  <c r="O495" i="1"/>
  <c r="I490" i="1"/>
  <c r="O480" i="1"/>
  <c r="I470" i="1"/>
  <c r="F453" i="1"/>
  <c r="O443" i="1"/>
  <c r="F416" i="1"/>
  <c r="F401" i="1"/>
  <c r="L391" i="1"/>
  <c r="I374" i="1"/>
  <c r="O369" i="1"/>
  <c r="I364" i="1"/>
  <c r="I344" i="1"/>
  <c r="O317" i="1"/>
  <c r="I307" i="1"/>
  <c r="F290" i="1"/>
  <c r="L280" i="1"/>
  <c r="F270" i="1"/>
  <c r="L260" i="1"/>
  <c r="O233" i="1"/>
  <c r="I223" i="1"/>
  <c r="F206" i="1"/>
  <c r="L196" i="1"/>
  <c r="F186" i="1"/>
  <c r="L176" i="1"/>
  <c r="I159" i="1"/>
  <c r="O149" i="1"/>
  <c r="I139" i="1"/>
  <c r="F122" i="1"/>
  <c r="L112" i="1"/>
  <c r="F102" i="1"/>
  <c r="L92" i="1"/>
  <c r="O65" i="1"/>
  <c r="I55" i="1"/>
  <c r="F39" i="1"/>
  <c r="L29" i="1"/>
  <c r="F19" i="1"/>
  <c r="I11" i="1"/>
  <c r="O606" i="1"/>
  <c r="I596" i="1"/>
  <c r="O569" i="1"/>
  <c r="F542" i="1"/>
  <c r="F527" i="1"/>
  <c r="L517" i="1"/>
  <c r="I500" i="1"/>
  <c r="I485" i="1"/>
  <c r="O475" i="1"/>
  <c r="L458" i="1"/>
  <c r="L443" i="1"/>
  <c r="F433" i="1"/>
  <c r="O416" i="1"/>
  <c r="L406" i="1"/>
  <c r="I359" i="1"/>
  <c r="O349" i="1"/>
  <c r="L332" i="1"/>
  <c r="L317" i="1"/>
  <c r="F307" i="1"/>
  <c r="O290" i="1"/>
  <c r="I280" i="1"/>
  <c r="O270" i="1"/>
  <c r="I260" i="1"/>
  <c r="F243" i="1"/>
  <c r="L233" i="1"/>
  <c r="F223" i="1"/>
  <c r="O206" i="1"/>
  <c r="I196" i="1"/>
  <c r="O186" i="1"/>
  <c r="I176" i="1"/>
  <c r="F159" i="1"/>
  <c r="L149" i="1"/>
  <c r="F139" i="1"/>
  <c r="O122" i="1"/>
  <c r="I92" i="1"/>
  <c r="L65" i="1"/>
  <c r="F55" i="1"/>
  <c r="O39" i="1"/>
  <c r="O601" i="1"/>
  <c r="F559" i="1"/>
  <c r="O542" i="1"/>
  <c r="O490" i="1"/>
  <c r="L453" i="1"/>
  <c r="F448" i="1"/>
  <c r="F428" i="1"/>
  <c r="O411" i="1"/>
  <c r="I386" i="1"/>
  <c r="O364" i="1"/>
  <c r="O354" i="1" s="1"/>
  <c r="L327" i="1"/>
  <c r="F322" i="1"/>
  <c r="I275" i="1"/>
  <c r="O265" i="1"/>
  <c r="F238" i="1"/>
  <c r="I191" i="1"/>
  <c r="O181" i="1"/>
  <c r="L144" i="1"/>
  <c r="I107" i="1"/>
  <c r="O97" i="1"/>
  <c r="F70" i="1"/>
  <c r="L60" i="1"/>
  <c r="I24" i="1"/>
  <c r="O12" i="1"/>
  <c r="O10" i="1"/>
  <c r="L559" i="1"/>
  <c r="L601" i="1"/>
  <c r="I584" i="1"/>
  <c r="I579" i="1" s="1"/>
  <c r="F574" i="1"/>
  <c r="L564" i="1"/>
  <c r="F554" i="1"/>
  <c r="O537" i="1"/>
  <c r="I532" i="1"/>
  <c r="O522" i="1"/>
  <c r="I512" i="1"/>
  <c r="F495" i="1"/>
  <c r="O485" i="1"/>
  <c r="F458" i="1"/>
  <c r="F443" i="1"/>
  <c r="L433" i="1"/>
  <c r="I416" i="1"/>
  <c r="I401" i="1"/>
  <c r="O391" i="1"/>
  <c r="L374" i="1"/>
  <c r="F369" i="1"/>
  <c r="O359" i="1"/>
  <c r="I349" i="1"/>
  <c r="F332" i="1"/>
  <c r="F317" i="1"/>
  <c r="F312" i="1" s="1"/>
  <c r="L307" i="1"/>
  <c r="I290" i="1"/>
  <c r="O280" i="1"/>
  <c r="I270" i="1"/>
  <c r="O260" i="1"/>
  <c r="F233" i="1"/>
  <c r="L223" i="1"/>
  <c r="I206" i="1"/>
  <c r="O196" i="1"/>
  <c r="L159" i="1"/>
  <c r="F149" i="1"/>
  <c r="L139" i="1"/>
  <c r="I122" i="1"/>
  <c r="O112" i="1"/>
  <c r="F65" i="1"/>
  <c r="L55" i="1"/>
  <c r="I39" i="1"/>
  <c r="O29" i="1"/>
  <c r="F24" i="1"/>
  <c r="L14" i="1"/>
  <c r="I564" i="1"/>
  <c r="I527" i="1"/>
  <c r="O517" i="1"/>
  <c r="F475" i="1"/>
  <c r="O458" i="1"/>
  <c r="F438" i="1"/>
  <c r="O406" i="1"/>
  <c r="F349" i="1"/>
  <c r="O332" i="1"/>
  <c r="L302" i="1"/>
  <c r="I265" i="1"/>
  <c r="L218" i="1"/>
  <c r="I181" i="1"/>
  <c r="F144" i="1"/>
  <c r="L134" i="1"/>
  <c r="I97" i="1"/>
  <c r="F60" i="1"/>
  <c r="L50" i="1"/>
  <c r="I14" i="1"/>
  <c r="F601" i="1"/>
  <c r="O584" i="1"/>
  <c r="O579" i="1" s="1"/>
  <c r="O532" i="1"/>
  <c r="L495" i="1"/>
  <c r="F490" i="1"/>
  <c r="L480" i="1"/>
  <c r="I428" i="1"/>
  <c r="L369" i="1"/>
  <c r="F364" i="1"/>
  <c r="I302" i="1"/>
  <c r="F265" i="1"/>
  <c r="O248" i="1"/>
  <c r="I218" i="1"/>
  <c r="F181" i="1"/>
  <c r="O164" i="1"/>
  <c r="I134" i="1"/>
  <c r="F117" i="1"/>
  <c r="L107" i="1"/>
  <c r="F97" i="1"/>
  <c r="O80" i="1"/>
  <c r="I70" i="1"/>
  <c r="I50" i="1"/>
  <c r="F34" i="1"/>
  <c r="L24" i="1"/>
  <c r="F14" i="1"/>
  <c r="L606" i="1"/>
  <c r="F596" i="1"/>
  <c r="I574" i="1"/>
  <c r="O564" i="1"/>
  <c r="I554" i="1"/>
  <c r="F537" i="1"/>
  <c r="O527" i="1"/>
  <c r="F500" i="1"/>
  <c r="F485" i="1"/>
  <c r="L475" i="1"/>
  <c r="I458" i="1"/>
  <c r="I443" i="1"/>
  <c r="O433" i="1"/>
  <c r="L416" i="1"/>
  <c r="L401" i="1"/>
  <c r="L396" i="1" s="1"/>
  <c r="F391" i="1"/>
  <c r="O374" i="1"/>
  <c r="F359" i="1"/>
  <c r="L349" i="1"/>
  <c r="I332" i="1"/>
  <c r="I317" i="1"/>
  <c r="O307" i="1"/>
  <c r="L290" i="1"/>
  <c r="F280" i="1"/>
  <c r="L270" i="1"/>
  <c r="F260" i="1"/>
  <c r="I233" i="1"/>
  <c r="O223" i="1"/>
  <c r="L206" i="1"/>
  <c r="F196" i="1"/>
  <c r="L186" i="1"/>
  <c r="F176" i="1"/>
  <c r="O159" i="1"/>
  <c r="I149" i="1"/>
  <c r="O139" i="1"/>
  <c r="L122" i="1"/>
  <c r="F112" i="1"/>
  <c r="L102" i="1"/>
  <c r="F92" i="1"/>
  <c r="F75" i="1" s="1"/>
  <c r="O75" i="1"/>
  <c r="I65" i="1"/>
  <c r="O55" i="1"/>
  <c r="L39" i="1"/>
  <c r="F29" i="1"/>
  <c r="L19" i="1"/>
  <c r="I542" i="1"/>
  <c r="I606" i="1"/>
  <c r="O596" i="1"/>
  <c r="I569" i="1"/>
  <c r="O559" i="1"/>
  <c r="F517" i="1"/>
  <c r="O500" i="1"/>
  <c r="O448" i="1"/>
  <c r="L411" i="1"/>
  <c r="F406" i="1"/>
  <c r="F386" i="1"/>
  <c r="L364" i="1"/>
  <c r="L354" i="1" s="1"/>
  <c r="L344" i="1"/>
  <c r="I327" i="1"/>
  <c r="O322" i="1"/>
  <c r="O302" i="1"/>
  <c r="L285" i="1"/>
  <c r="F275" i="1"/>
  <c r="L265" i="1"/>
  <c r="L243" i="1" s="1"/>
  <c r="I248" i="1"/>
  <c r="I243" i="1" s="1"/>
  <c r="O238" i="1"/>
  <c r="O218" i="1"/>
  <c r="L201" i="1"/>
  <c r="F191" i="1"/>
  <c r="L181" i="1"/>
  <c r="I164" i="1"/>
  <c r="I154" i="1" s="1"/>
  <c r="I144" i="1"/>
  <c r="O134" i="1"/>
  <c r="L117" i="1"/>
  <c r="F107" i="1"/>
  <c r="L97" i="1"/>
  <c r="I80" i="1"/>
  <c r="I75" i="1" s="1"/>
  <c r="O70" i="1"/>
  <c r="I60" i="1"/>
  <c r="O50" i="1"/>
  <c r="L34" i="1"/>
  <c r="I19" i="1"/>
  <c r="L554" i="1"/>
  <c r="L512" i="1"/>
  <c r="L470" i="1"/>
  <c r="L428" i="1"/>
  <c r="L386" i="1"/>
  <c r="F11" i="1"/>
  <c r="O438" i="1"/>
  <c r="I354" i="1"/>
  <c r="L312" i="1"/>
  <c r="L228" i="1"/>
  <c r="F154" i="1"/>
  <c r="F606" i="1"/>
  <c r="F396" i="1"/>
  <c r="O396" i="1"/>
  <c r="F579" i="1"/>
  <c r="L75" i="1"/>
  <c r="F564" i="1"/>
  <c r="F522" i="1"/>
  <c r="F480" i="1"/>
  <c r="I438" i="1"/>
  <c r="I396" i="1"/>
  <c r="F228" i="1"/>
  <c r="L154" i="1"/>
  <c r="L12" i="1"/>
  <c r="I12" i="1"/>
  <c r="I559" i="1"/>
  <c r="I475" i="1"/>
  <c r="I433" i="1"/>
  <c r="I391" i="1"/>
  <c r="O312" i="1"/>
  <c r="O228" i="1"/>
  <c r="F12" i="1"/>
  <c r="L596" i="1"/>
  <c r="L579" i="1" s="1"/>
  <c r="I517" i="1"/>
  <c r="O243" i="1"/>
  <c r="O11" i="1"/>
  <c r="O9" i="1" s="1"/>
  <c r="I601" i="1"/>
  <c r="L438" i="1"/>
  <c r="F354" i="1"/>
  <c r="I312" i="1"/>
  <c r="I228" i="1"/>
  <c r="O154" i="1"/>
  <c r="L11" i="1"/>
  <c r="L10" i="1"/>
  <c r="O14" i="1"/>
  <c r="F10" i="1"/>
  <c r="I10" i="1"/>
  <c r="I9" i="1" s="1"/>
  <c r="F9" i="1" l="1"/>
  <c r="L9" i="1"/>
</calcChain>
</file>

<file path=xl/sharedStrings.xml><?xml version="1.0" encoding="utf-8"?>
<sst xmlns="http://schemas.openxmlformats.org/spreadsheetml/2006/main" count="458" uniqueCount="16">
  <si>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Community defender organization.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</si>
  <si>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Other representations include court-directed prisoner, bail/presentment, witness, probation revocation, and parole revocation representations.</t>
    </r>
  </si>
  <si>
    <t>Other</t>
  </si>
  <si>
    <t>Appeals</t>
  </si>
  <si>
    <t>Criminal</t>
  </si>
  <si>
    <t>End of Period</t>
  </si>
  <si>
    <t>Closed</t>
  </si>
  <si>
    <t>Opened</t>
  </si>
  <si>
    <t>Beginning of Period</t>
  </si>
  <si>
    <r>
      <t xml:space="preserve">by District </t>
    </r>
    <r>
      <rPr>
        <b/>
        <vertAlign val="superscript"/>
        <sz val="8"/>
        <color theme="1"/>
        <rFont val="Arial"/>
        <family val="2"/>
      </rPr>
      <t>1</t>
    </r>
  </si>
  <si>
    <t>Pending</t>
  </si>
  <si>
    <t>Cases</t>
  </si>
  <si>
    <t>Representations</t>
  </si>
  <si>
    <t>Total</t>
  </si>
  <si>
    <t>Federal Defender Organizations—Summary of Representations, by District,</t>
  </si>
  <si>
    <t>Table K-1.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</si>
</sst>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164" fontId="2" fillId="0" borderId="0" xfId="1" applyNumberFormat="1" applyFont="1"/>
    <xf numFmtId="164" fontId="4" fillId="0" borderId="0" xfId="1" applyNumberFormat="1" applyFont="1"/>
    <xf numFmtId="0" fontId="4" fillId="0" borderId="0" xfId="0" applyFont="1"/>
    <xf numFmtId="0" fontId="0" fillId="0" borderId="2" xfId="0" applyBorder="1"/>
    <xf numFmtId="0" fontId="6" fillId="0" borderId="0" xfId="0" applyFont="1"/>
    <xf numFmtId="164" fontId="2" fillId="0" borderId="0" xfId="1" applyNumberFormat="1" applyFont="1" applyFill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16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BC77DBC-B62D-4522-9B27-640F1C59607A}"/>
            </a:ext>
          </a:extLst>
        </xdr:cNvPr>
        <xdr:cNvCxnSpPr/>
      </xdr:nvCxnSpPr>
      <xdr:spPr>
        <a:xfrm>
          <a:off x="28575" y="47625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42</xdr:row>
      <xdr:rowOff>57150</xdr:rowOff>
    </xdr:from>
    <xdr:to>
      <xdr:col>16</xdr:col>
      <xdr:colOff>0</xdr:colOff>
      <xdr:row>42</xdr:row>
      <xdr:rowOff>57150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1F5E4E3-CC8F-4BC8-91A7-C7EE97DD0F1A}"/>
            </a:ext>
          </a:extLst>
        </xdr:cNvPr>
        <xdr:cNvCxnSpPr/>
      </xdr:nvCxnSpPr>
      <xdr:spPr>
        <a:xfrm>
          <a:off x="28575" y="773811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84</xdr:row>
      <xdr:rowOff>57150</xdr:rowOff>
    </xdr:from>
    <xdr:to>
      <xdr:col>16</xdr:col>
      <xdr:colOff>0</xdr:colOff>
      <xdr:row>84</xdr:row>
      <xdr:rowOff>57150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371DA93-2F16-4A93-83B8-F21A8DEFFB2A}"/>
            </a:ext>
          </a:extLst>
        </xdr:cNvPr>
        <xdr:cNvCxnSpPr/>
      </xdr:nvCxnSpPr>
      <xdr:spPr>
        <a:xfrm>
          <a:off x="28575" y="1541907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126</xdr:row>
      <xdr:rowOff>57150</xdr:rowOff>
    </xdr:from>
    <xdr:to>
      <xdr:col>16</xdr:col>
      <xdr:colOff>0</xdr:colOff>
      <xdr:row>126</xdr:row>
      <xdr:rowOff>57150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C1B2BB1-687A-4357-BE6B-A32E986AA2A3}"/>
            </a:ext>
          </a:extLst>
        </xdr:cNvPr>
        <xdr:cNvCxnSpPr/>
      </xdr:nvCxnSpPr>
      <xdr:spPr>
        <a:xfrm>
          <a:off x="28575" y="2310003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168</xdr:row>
      <xdr:rowOff>57150</xdr:rowOff>
    </xdr:from>
    <xdr:to>
      <xdr:col>16</xdr:col>
      <xdr:colOff>0</xdr:colOff>
      <xdr:row>168</xdr:row>
      <xdr:rowOff>57150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A07B4834-F31F-4AC8-917F-1DA95CE3EA1D}"/>
            </a:ext>
          </a:extLst>
        </xdr:cNvPr>
        <xdr:cNvCxnSpPr/>
      </xdr:nvCxnSpPr>
      <xdr:spPr>
        <a:xfrm>
          <a:off x="28575" y="3078099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210</xdr:row>
      <xdr:rowOff>57150</xdr:rowOff>
    </xdr:from>
    <xdr:to>
      <xdr:col>16</xdr:col>
      <xdr:colOff>0</xdr:colOff>
      <xdr:row>210</xdr:row>
      <xdr:rowOff>57150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A0F025EF-E9D5-4F66-BDB3-5C11B2533CF7}"/>
            </a:ext>
          </a:extLst>
        </xdr:cNvPr>
        <xdr:cNvCxnSpPr/>
      </xdr:nvCxnSpPr>
      <xdr:spPr>
        <a:xfrm>
          <a:off x="28575" y="384619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252</xdr:row>
      <xdr:rowOff>57150</xdr:rowOff>
    </xdr:from>
    <xdr:to>
      <xdr:col>16</xdr:col>
      <xdr:colOff>0</xdr:colOff>
      <xdr:row>252</xdr:row>
      <xdr:rowOff>57150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E79AB3-0E46-413C-80A4-163B53261224}"/>
            </a:ext>
          </a:extLst>
        </xdr:cNvPr>
        <xdr:cNvCxnSpPr/>
      </xdr:nvCxnSpPr>
      <xdr:spPr>
        <a:xfrm>
          <a:off x="28575" y="4614291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336</xdr:row>
      <xdr:rowOff>57150</xdr:rowOff>
    </xdr:from>
    <xdr:to>
      <xdr:col>16</xdr:col>
      <xdr:colOff>0</xdr:colOff>
      <xdr:row>336</xdr:row>
      <xdr:rowOff>57150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7FC53697-BCD3-4B5B-9A08-D9F4EA1C9E51}"/>
            </a:ext>
          </a:extLst>
        </xdr:cNvPr>
        <xdr:cNvCxnSpPr/>
      </xdr:nvCxnSpPr>
      <xdr:spPr>
        <a:xfrm>
          <a:off x="28575" y="6150483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378</xdr:row>
      <xdr:rowOff>57150</xdr:rowOff>
    </xdr:from>
    <xdr:to>
      <xdr:col>16</xdr:col>
      <xdr:colOff>0</xdr:colOff>
      <xdr:row>378</xdr:row>
      <xdr:rowOff>57150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70B08217-DC4C-4E5A-8391-44EAEF89D2EC}"/>
            </a:ext>
          </a:extLst>
        </xdr:cNvPr>
        <xdr:cNvCxnSpPr/>
      </xdr:nvCxnSpPr>
      <xdr:spPr>
        <a:xfrm>
          <a:off x="28575" y="6918579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420</xdr:row>
      <xdr:rowOff>57150</xdr:rowOff>
    </xdr:from>
    <xdr:to>
      <xdr:col>16</xdr:col>
      <xdr:colOff>0</xdr:colOff>
      <xdr:row>420</xdr:row>
      <xdr:rowOff>57150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2C15D88-28F1-4DAF-B33F-E43EE4DBBD24}"/>
            </a:ext>
          </a:extLst>
        </xdr:cNvPr>
        <xdr:cNvCxnSpPr/>
      </xdr:nvCxnSpPr>
      <xdr:spPr>
        <a:xfrm>
          <a:off x="28575" y="7686675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294</xdr:row>
      <xdr:rowOff>57150</xdr:rowOff>
    </xdr:from>
    <xdr:to>
      <xdr:col>16</xdr:col>
      <xdr:colOff>0</xdr:colOff>
      <xdr:row>294</xdr:row>
      <xdr:rowOff>57150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7E62359-1250-48D1-80A5-199CD9038635}"/>
            </a:ext>
          </a:extLst>
        </xdr:cNvPr>
        <xdr:cNvCxnSpPr/>
      </xdr:nvCxnSpPr>
      <xdr:spPr>
        <a:xfrm>
          <a:off x="28575" y="5382387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462</xdr:row>
      <xdr:rowOff>57150</xdr:rowOff>
    </xdr:from>
    <xdr:to>
      <xdr:col>16</xdr:col>
      <xdr:colOff>0</xdr:colOff>
      <xdr:row>462</xdr:row>
      <xdr:rowOff>57150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CB720605-D747-4A05-A1C3-EAE414334B09}"/>
            </a:ext>
          </a:extLst>
        </xdr:cNvPr>
        <xdr:cNvCxnSpPr/>
      </xdr:nvCxnSpPr>
      <xdr:spPr>
        <a:xfrm>
          <a:off x="28575" y="8454771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504</xdr:row>
      <xdr:rowOff>57150</xdr:rowOff>
    </xdr:from>
    <xdr:to>
      <xdr:col>16</xdr:col>
      <xdr:colOff>0</xdr:colOff>
      <xdr:row>504</xdr:row>
      <xdr:rowOff>57150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5E0DF2A6-F564-469E-BF45-2D7FFD35912A}"/>
            </a:ext>
          </a:extLst>
        </xdr:cNvPr>
        <xdr:cNvCxnSpPr/>
      </xdr:nvCxnSpPr>
      <xdr:spPr>
        <a:xfrm>
          <a:off x="28575" y="9222867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546</xdr:row>
      <xdr:rowOff>57150</xdr:rowOff>
    </xdr:from>
    <xdr:to>
      <xdr:col>16</xdr:col>
      <xdr:colOff>0</xdr:colOff>
      <xdr:row>546</xdr:row>
      <xdr:rowOff>57150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E91E07B2-30C2-4869-9CBE-84529BD29D69}"/>
            </a:ext>
          </a:extLst>
        </xdr:cNvPr>
        <xdr:cNvCxnSpPr/>
      </xdr:nvCxnSpPr>
      <xdr:spPr>
        <a:xfrm>
          <a:off x="28575" y="9990963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588</xdr:row>
      <xdr:rowOff>57150</xdr:rowOff>
    </xdr:from>
    <xdr:to>
      <xdr:col>16</xdr:col>
      <xdr:colOff>0</xdr:colOff>
      <xdr:row>588</xdr:row>
      <xdr:rowOff>57150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4652E6FC-44CC-4110-BF49-35A2DDA3ED45}"/>
            </a:ext>
          </a:extLst>
        </xdr:cNvPr>
        <xdr:cNvCxnSpPr/>
      </xdr:nvCxnSpPr>
      <xdr:spPr>
        <a:xfrm>
          <a:off x="28575" y="107590590"/>
          <a:ext cx="972502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rification%20Folder/Copy%20of%202022%20DSO%20CJA%20Table%20K-1%20Template%20v1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"/>
      <sheetName val="Formatted Excel"/>
      <sheetName val="Check Sheet"/>
      <sheetName val="Raw Data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2022</v>
          </cell>
          <cell r="B2" t="str">
            <v>AK</v>
          </cell>
          <cell r="C2" t="str">
            <v>FPD</v>
          </cell>
          <cell r="D2">
            <v>118</v>
          </cell>
          <cell r="E2">
            <v>95</v>
          </cell>
          <cell r="F2">
            <v>101</v>
          </cell>
          <cell r="G2">
            <v>111</v>
          </cell>
          <cell r="H2">
            <v>17</v>
          </cell>
          <cell r="I2">
            <v>19</v>
          </cell>
          <cell r="J2">
            <v>25</v>
          </cell>
          <cell r="K2">
            <v>11</v>
          </cell>
          <cell r="L2">
            <v>183</v>
          </cell>
          <cell r="M2">
            <v>154</v>
          </cell>
          <cell r="N2">
            <v>211</v>
          </cell>
          <cell r="O2">
            <v>126</v>
          </cell>
        </row>
        <row r="3">
          <cell r="B3" t="str">
            <v>AL, M</v>
          </cell>
          <cell r="C3" t="str">
            <v>CDO</v>
          </cell>
          <cell r="D3">
            <v>77</v>
          </cell>
          <cell r="E3">
            <v>155</v>
          </cell>
          <cell r="F3">
            <v>102</v>
          </cell>
          <cell r="G3">
            <v>130</v>
          </cell>
          <cell r="H3">
            <v>10</v>
          </cell>
          <cell r="I3">
            <v>7</v>
          </cell>
          <cell r="J3">
            <v>13</v>
          </cell>
          <cell r="K3">
            <v>4</v>
          </cell>
          <cell r="L3">
            <v>78</v>
          </cell>
          <cell r="M3">
            <v>65</v>
          </cell>
          <cell r="N3">
            <v>86</v>
          </cell>
          <cell r="O3">
            <v>57</v>
          </cell>
        </row>
        <row r="4">
          <cell r="B4" t="str">
            <v>AL, N</v>
          </cell>
          <cell r="C4" t="str">
            <v>FPD</v>
          </cell>
          <cell r="D4">
            <v>181</v>
          </cell>
          <cell r="E4">
            <v>331</v>
          </cell>
          <cell r="F4">
            <v>302</v>
          </cell>
          <cell r="G4">
            <v>210</v>
          </cell>
          <cell r="H4">
            <v>24</v>
          </cell>
          <cell r="I4">
            <v>29</v>
          </cell>
          <cell r="J4">
            <v>34</v>
          </cell>
          <cell r="K4">
            <v>19</v>
          </cell>
          <cell r="L4">
            <v>100</v>
          </cell>
          <cell r="M4">
            <v>225</v>
          </cell>
          <cell r="N4">
            <v>256</v>
          </cell>
          <cell r="O4">
            <v>69</v>
          </cell>
        </row>
        <row r="5">
          <cell r="B5" t="str">
            <v>AL, S</v>
          </cell>
          <cell r="C5" t="str">
            <v>CDO</v>
          </cell>
          <cell r="D5">
            <v>58</v>
          </cell>
          <cell r="E5">
            <v>133</v>
          </cell>
          <cell r="F5">
            <v>135</v>
          </cell>
          <cell r="G5">
            <v>56</v>
          </cell>
          <cell r="H5">
            <v>10</v>
          </cell>
          <cell r="I5">
            <v>25</v>
          </cell>
          <cell r="J5">
            <v>23</v>
          </cell>
          <cell r="K5">
            <v>12</v>
          </cell>
          <cell r="L5">
            <v>36</v>
          </cell>
          <cell r="M5">
            <v>154</v>
          </cell>
          <cell r="N5">
            <v>151</v>
          </cell>
          <cell r="O5">
            <v>39</v>
          </cell>
        </row>
        <row r="6">
          <cell r="B6" t="str">
            <v>AR, E</v>
          </cell>
          <cell r="C6" t="str">
            <v>FPD</v>
          </cell>
          <cell r="D6">
            <v>433</v>
          </cell>
          <cell r="E6">
            <v>194</v>
          </cell>
          <cell r="F6">
            <v>313</v>
          </cell>
          <cell r="G6">
            <v>314</v>
          </cell>
          <cell r="H6">
            <v>26</v>
          </cell>
          <cell r="I6">
            <v>21</v>
          </cell>
          <cell r="J6">
            <v>38</v>
          </cell>
          <cell r="K6">
            <v>9</v>
          </cell>
          <cell r="L6">
            <v>77</v>
          </cell>
          <cell r="M6">
            <v>94</v>
          </cell>
          <cell r="N6">
            <v>81</v>
          </cell>
          <cell r="O6">
            <v>90</v>
          </cell>
        </row>
        <row r="7">
          <cell r="B7" t="str">
            <v>AR, W</v>
          </cell>
          <cell r="C7" t="str">
            <v>FPD</v>
          </cell>
          <cell r="D7">
            <v>117</v>
          </cell>
          <cell r="E7">
            <v>125</v>
          </cell>
          <cell r="F7">
            <v>145</v>
          </cell>
          <cell r="G7">
            <v>97</v>
          </cell>
          <cell r="H7">
            <v>30</v>
          </cell>
          <cell r="I7">
            <v>43</v>
          </cell>
          <cell r="J7">
            <v>57</v>
          </cell>
          <cell r="K7">
            <v>16</v>
          </cell>
          <cell r="L7">
            <v>69</v>
          </cell>
          <cell r="M7">
            <v>106</v>
          </cell>
          <cell r="N7">
            <v>109</v>
          </cell>
          <cell r="O7">
            <v>66</v>
          </cell>
        </row>
        <row r="8">
          <cell r="B8" t="str">
            <v>AZ</v>
          </cell>
          <cell r="C8" t="str">
            <v>FPD</v>
          </cell>
          <cell r="D8">
            <v>1572</v>
          </cell>
          <cell r="E8">
            <v>4755</v>
          </cell>
          <cell r="F8">
            <v>5013</v>
          </cell>
          <cell r="G8">
            <v>1315</v>
          </cell>
          <cell r="H8">
            <v>69</v>
          </cell>
          <cell r="I8">
            <v>63</v>
          </cell>
          <cell r="J8">
            <v>81</v>
          </cell>
          <cell r="K8">
            <v>51</v>
          </cell>
          <cell r="L8">
            <v>480</v>
          </cell>
          <cell r="M8">
            <v>895</v>
          </cell>
          <cell r="N8">
            <v>1021</v>
          </cell>
          <cell r="O8">
            <v>353</v>
          </cell>
        </row>
        <row r="9">
          <cell r="B9" t="str">
            <v>CA, C</v>
          </cell>
          <cell r="C9" t="str">
            <v>FPD</v>
          </cell>
          <cell r="D9">
            <v>908</v>
          </cell>
          <cell r="E9">
            <v>1034</v>
          </cell>
          <cell r="F9">
            <v>1085</v>
          </cell>
          <cell r="G9">
            <v>857</v>
          </cell>
          <cell r="H9">
            <v>129</v>
          </cell>
          <cell r="I9">
            <v>195</v>
          </cell>
          <cell r="J9">
            <v>123</v>
          </cell>
          <cell r="K9">
            <v>201</v>
          </cell>
          <cell r="L9">
            <v>1250</v>
          </cell>
          <cell r="M9">
            <v>1621</v>
          </cell>
          <cell r="N9">
            <v>1701</v>
          </cell>
          <cell r="O9">
            <v>1170</v>
          </cell>
        </row>
        <row r="10">
          <cell r="B10" t="str">
            <v>CA, E</v>
          </cell>
          <cell r="C10" t="str">
            <v>FPD</v>
          </cell>
          <cell r="D10">
            <v>399</v>
          </cell>
          <cell r="E10">
            <v>519</v>
          </cell>
          <cell r="F10">
            <v>525</v>
          </cell>
          <cell r="G10">
            <v>394</v>
          </cell>
          <cell r="H10">
            <v>58</v>
          </cell>
          <cell r="I10">
            <v>39</v>
          </cell>
          <cell r="J10">
            <v>50</v>
          </cell>
          <cell r="K10">
            <v>47</v>
          </cell>
          <cell r="L10">
            <v>383</v>
          </cell>
          <cell r="M10">
            <v>431</v>
          </cell>
          <cell r="N10">
            <v>450</v>
          </cell>
          <cell r="O10">
            <v>364</v>
          </cell>
        </row>
        <row r="11">
          <cell r="B11" t="str">
            <v>CA, N</v>
          </cell>
          <cell r="C11" t="str">
            <v>FPD</v>
          </cell>
          <cell r="D11">
            <v>427</v>
          </cell>
          <cell r="E11">
            <v>1046</v>
          </cell>
          <cell r="F11">
            <v>996</v>
          </cell>
          <cell r="G11">
            <v>477</v>
          </cell>
          <cell r="H11">
            <v>37</v>
          </cell>
          <cell r="I11">
            <v>44</v>
          </cell>
          <cell r="J11">
            <v>40</v>
          </cell>
          <cell r="K11">
            <v>41</v>
          </cell>
          <cell r="L11">
            <v>581</v>
          </cell>
          <cell r="M11">
            <v>387</v>
          </cell>
          <cell r="N11">
            <v>708</v>
          </cell>
          <cell r="O11">
            <v>260</v>
          </cell>
        </row>
        <row r="12">
          <cell r="B12" t="str">
            <v>CA, S</v>
          </cell>
          <cell r="C12" t="str">
            <v>CDO</v>
          </cell>
          <cell r="D12">
            <v>1682</v>
          </cell>
          <cell r="E12">
            <v>1747</v>
          </cell>
          <cell r="F12">
            <v>2276</v>
          </cell>
          <cell r="G12">
            <v>1153</v>
          </cell>
          <cell r="H12">
            <v>421</v>
          </cell>
          <cell r="I12">
            <v>74</v>
          </cell>
          <cell r="J12">
            <v>102</v>
          </cell>
          <cell r="K12">
            <v>393</v>
          </cell>
          <cell r="L12">
            <v>431</v>
          </cell>
          <cell r="M12">
            <v>3258</v>
          </cell>
          <cell r="N12">
            <v>3357</v>
          </cell>
          <cell r="O12">
            <v>332</v>
          </cell>
        </row>
        <row r="13">
          <cell r="B13" t="str">
            <v>TOT: CO/WY</v>
          </cell>
          <cell r="C13" t="str">
            <v>FPD</v>
          </cell>
          <cell r="D13">
            <v>193</v>
          </cell>
          <cell r="E13">
            <v>416</v>
          </cell>
          <cell r="F13">
            <v>378</v>
          </cell>
          <cell r="G13">
            <v>231</v>
          </cell>
          <cell r="H13">
            <v>103</v>
          </cell>
          <cell r="I13">
            <v>162</v>
          </cell>
          <cell r="J13">
            <v>163</v>
          </cell>
          <cell r="K13">
            <v>102</v>
          </cell>
          <cell r="L13">
            <v>86</v>
          </cell>
          <cell r="M13">
            <v>301</v>
          </cell>
          <cell r="N13">
            <v>295</v>
          </cell>
          <cell r="O13">
            <v>92</v>
          </cell>
        </row>
        <row r="14">
          <cell r="B14" t="str">
            <v xml:space="preserve">   CO</v>
          </cell>
          <cell r="C14" t="str">
            <v>FPD</v>
          </cell>
          <cell r="D14">
            <v>162</v>
          </cell>
          <cell r="E14">
            <v>304</v>
          </cell>
          <cell r="F14">
            <v>284</v>
          </cell>
          <cell r="G14">
            <v>182</v>
          </cell>
          <cell r="H14">
            <v>102</v>
          </cell>
          <cell r="I14">
            <v>162</v>
          </cell>
          <cell r="J14">
            <v>162</v>
          </cell>
          <cell r="K14">
            <v>102</v>
          </cell>
          <cell r="L14">
            <v>71</v>
          </cell>
          <cell r="M14">
            <v>212</v>
          </cell>
          <cell r="N14">
            <v>209</v>
          </cell>
          <cell r="O14">
            <v>74</v>
          </cell>
        </row>
        <row r="15">
          <cell r="B15" t="str">
            <v xml:space="preserve">   WY</v>
          </cell>
          <cell r="C15" t="str">
            <v>FPD</v>
          </cell>
          <cell r="D15">
            <v>31</v>
          </cell>
          <cell r="E15">
            <v>112</v>
          </cell>
          <cell r="F15">
            <v>94</v>
          </cell>
          <cell r="G15">
            <v>49</v>
          </cell>
          <cell r="H15">
            <v>1</v>
          </cell>
          <cell r="I15">
            <v>0</v>
          </cell>
          <cell r="J15">
            <v>1</v>
          </cell>
          <cell r="K15">
            <v>0</v>
          </cell>
          <cell r="L15">
            <v>15</v>
          </cell>
          <cell r="M15">
            <v>89</v>
          </cell>
          <cell r="N15">
            <v>86</v>
          </cell>
          <cell r="O15">
            <v>18</v>
          </cell>
        </row>
        <row r="16">
          <cell r="B16" t="str">
            <v>CT</v>
          </cell>
          <cell r="C16" t="str">
            <v>FPD</v>
          </cell>
          <cell r="D16">
            <v>209</v>
          </cell>
          <cell r="E16">
            <v>127</v>
          </cell>
          <cell r="F16">
            <v>143</v>
          </cell>
          <cell r="G16">
            <v>193</v>
          </cell>
          <cell r="H16">
            <v>14</v>
          </cell>
          <cell r="I16">
            <v>14</v>
          </cell>
          <cell r="J16">
            <v>17</v>
          </cell>
          <cell r="K16">
            <v>11</v>
          </cell>
          <cell r="L16">
            <v>501</v>
          </cell>
          <cell r="M16">
            <v>568</v>
          </cell>
          <cell r="N16">
            <v>624</v>
          </cell>
          <cell r="O16">
            <v>445</v>
          </cell>
        </row>
        <row r="17">
          <cell r="B17" t="str">
            <v>DC</v>
          </cell>
          <cell r="C17" t="str">
            <v>FPD</v>
          </cell>
          <cell r="D17">
            <v>343</v>
          </cell>
          <cell r="E17">
            <v>140</v>
          </cell>
          <cell r="F17">
            <v>174</v>
          </cell>
          <cell r="G17">
            <v>308</v>
          </cell>
          <cell r="H17">
            <v>122</v>
          </cell>
          <cell r="I17">
            <v>40</v>
          </cell>
          <cell r="J17">
            <v>42</v>
          </cell>
          <cell r="K17">
            <v>120</v>
          </cell>
          <cell r="L17">
            <v>314</v>
          </cell>
          <cell r="M17">
            <v>148</v>
          </cell>
          <cell r="N17">
            <v>197</v>
          </cell>
          <cell r="O17">
            <v>264</v>
          </cell>
        </row>
        <row r="18">
          <cell r="B18" t="str">
            <v>DEL</v>
          </cell>
          <cell r="C18" t="str">
            <v>FPD</v>
          </cell>
          <cell r="D18">
            <v>80</v>
          </cell>
          <cell r="E18">
            <v>109</v>
          </cell>
          <cell r="F18">
            <v>100</v>
          </cell>
          <cell r="G18">
            <v>89</v>
          </cell>
          <cell r="H18">
            <v>12</v>
          </cell>
          <cell r="I18">
            <v>10</v>
          </cell>
          <cell r="J18">
            <v>6</v>
          </cell>
          <cell r="K18">
            <v>16</v>
          </cell>
          <cell r="L18">
            <v>58</v>
          </cell>
          <cell r="M18">
            <v>47</v>
          </cell>
          <cell r="N18">
            <v>55</v>
          </cell>
          <cell r="O18">
            <v>50</v>
          </cell>
        </row>
        <row r="19">
          <cell r="B19" t="str">
            <v>FL, M</v>
          </cell>
          <cell r="C19" t="str">
            <v>FPD</v>
          </cell>
          <cell r="D19">
            <v>375</v>
          </cell>
          <cell r="E19">
            <v>708</v>
          </cell>
          <cell r="F19">
            <v>688</v>
          </cell>
          <cell r="G19">
            <v>395</v>
          </cell>
          <cell r="H19">
            <v>208</v>
          </cell>
          <cell r="I19">
            <v>147</v>
          </cell>
          <cell r="J19">
            <v>234</v>
          </cell>
          <cell r="K19">
            <v>122</v>
          </cell>
          <cell r="L19">
            <v>480</v>
          </cell>
          <cell r="M19">
            <v>572</v>
          </cell>
          <cell r="N19">
            <v>785</v>
          </cell>
          <cell r="O19">
            <v>266</v>
          </cell>
        </row>
        <row r="20">
          <cell r="B20" t="str">
            <v>FL, N</v>
          </cell>
          <cell r="C20" t="str">
            <v>FPD</v>
          </cell>
          <cell r="D20">
            <v>111</v>
          </cell>
          <cell r="E20">
            <v>195</v>
          </cell>
          <cell r="F20">
            <v>207</v>
          </cell>
          <cell r="G20">
            <v>99</v>
          </cell>
          <cell r="H20">
            <v>37</v>
          </cell>
          <cell r="I20">
            <v>62</v>
          </cell>
          <cell r="J20">
            <v>57</v>
          </cell>
          <cell r="K20">
            <v>42</v>
          </cell>
          <cell r="L20">
            <v>130</v>
          </cell>
          <cell r="M20">
            <v>230</v>
          </cell>
          <cell r="N20">
            <v>237</v>
          </cell>
          <cell r="O20">
            <v>123</v>
          </cell>
        </row>
        <row r="21">
          <cell r="B21" t="str">
            <v>FL, S</v>
          </cell>
          <cell r="C21" t="str">
            <v>FPD</v>
          </cell>
          <cell r="D21">
            <v>725</v>
          </cell>
          <cell r="E21">
            <v>989</v>
          </cell>
          <cell r="F21">
            <v>1106</v>
          </cell>
          <cell r="G21">
            <v>608</v>
          </cell>
          <cell r="H21">
            <v>221</v>
          </cell>
          <cell r="I21">
            <v>244</v>
          </cell>
          <cell r="J21">
            <v>254</v>
          </cell>
          <cell r="K21">
            <v>211</v>
          </cell>
          <cell r="L21">
            <v>492</v>
          </cell>
          <cell r="M21">
            <v>568</v>
          </cell>
          <cell r="N21">
            <v>734</v>
          </cell>
          <cell r="O21">
            <v>326</v>
          </cell>
        </row>
        <row r="22">
          <cell r="B22" t="str">
            <v>GA, M</v>
          </cell>
          <cell r="C22" t="str">
            <v>CDO</v>
          </cell>
          <cell r="D22">
            <v>195</v>
          </cell>
          <cell r="E22">
            <v>191</v>
          </cell>
          <cell r="F22">
            <v>199</v>
          </cell>
          <cell r="G22">
            <v>187</v>
          </cell>
          <cell r="H22">
            <v>26</v>
          </cell>
          <cell r="I22">
            <v>62</v>
          </cell>
          <cell r="J22">
            <v>52</v>
          </cell>
          <cell r="K22">
            <v>36</v>
          </cell>
          <cell r="L22">
            <v>65</v>
          </cell>
          <cell r="M22">
            <v>102</v>
          </cell>
          <cell r="N22">
            <v>101</v>
          </cell>
          <cell r="O22">
            <v>66</v>
          </cell>
        </row>
        <row r="23">
          <cell r="B23" t="str">
            <v>GA, N</v>
          </cell>
          <cell r="C23" t="str">
            <v>CDO</v>
          </cell>
          <cell r="D23">
            <v>449</v>
          </cell>
          <cell r="E23">
            <v>678</v>
          </cell>
          <cell r="F23">
            <v>685</v>
          </cell>
          <cell r="G23">
            <v>442</v>
          </cell>
          <cell r="H23">
            <v>34</v>
          </cell>
          <cell r="I23">
            <v>38</v>
          </cell>
          <cell r="J23">
            <v>38</v>
          </cell>
          <cell r="K23">
            <v>34</v>
          </cell>
          <cell r="L23">
            <v>175</v>
          </cell>
          <cell r="M23">
            <v>342</v>
          </cell>
          <cell r="N23">
            <v>367</v>
          </cell>
          <cell r="O23">
            <v>150</v>
          </cell>
        </row>
        <row r="24">
          <cell r="B24" t="str">
            <v>GU</v>
          </cell>
          <cell r="C24" t="str">
            <v>FPD</v>
          </cell>
          <cell r="D24">
            <v>40</v>
          </cell>
          <cell r="E24">
            <v>33</v>
          </cell>
          <cell r="F24">
            <v>48</v>
          </cell>
          <cell r="G24">
            <v>25</v>
          </cell>
          <cell r="H24">
            <v>2</v>
          </cell>
          <cell r="I24">
            <v>1</v>
          </cell>
          <cell r="J24">
            <v>3</v>
          </cell>
          <cell r="K24">
            <v>0</v>
          </cell>
          <cell r="L24">
            <v>42</v>
          </cell>
          <cell r="M24">
            <v>42</v>
          </cell>
          <cell r="N24">
            <v>49</v>
          </cell>
          <cell r="O24">
            <v>35</v>
          </cell>
        </row>
        <row r="25">
          <cell r="B25" t="str">
            <v>HI</v>
          </cell>
          <cell r="C25" t="str">
            <v>FPD</v>
          </cell>
          <cell r="D25">
            <v>74</v>
          </cell>
          <cell r="E25">
            <v>231</v>
          </cell>
          <cell r="F25">
            <v>205</v>
          </cell>
          <cell r="G25">
            <v>100</v>
          </cell>
          <cell r="H25">
            <v>22</v>
          </cell>
          <cell r="I25">
            <v>23</v>
          </cell>
          <cell r="J25">
            <v>36</v>
          </cell>
          <cell r="K25">
            <v>9</v>
          </cell>
          <cell r="L25">
            <v>81</v>
          </cell>
          <cell r="M25">
            <v>148</v>
          </cell>
          <cell r="N25">
            <v>148</v>
          </cell>
          <cell r="O25">
            <v>81</v>
          </cell>
        </row>
        <row r="26">
          <cell r="B26" t="str">
            <v>TOT: IA, N/S</v>
          </cell>
          <cell r="C26" t="str">
            <v>FPD</v>
          </cell>
          <cell r="D26">
            <v>297</v>
          </cell>
          <cell r="E26">
            <v>439</v>
          </cell>
          <cell r="F26">
            <v>466</v>
          </cell>
          <cell r="G26">
            <v>270</v>
          </cell>
          <cell r="H26">
            <v>78</v>
          </cell>
          <cell r="I26">
            <v>128</v>
          </cell>
          <cell r="J26">
            <v>131</v>
          </cell>
          <cell r="K26">
            <v>75</v>
          </cell>
          <cell r="L26">
            <v>61</v>
          </cell>
          <cell r="M26">
            <v>263</v>
          </cell>
          <cell r="N26">
            <v>251</v>
          </cell>
          <cell r="O26">
            <v>73</v>
          </cell>
        </row>
        <row r="27">
          <cell r="B27" t="str">
            <v xml:space="preserve">   IA, N</v>
          </cell>
          <cell r="C27" t="str">
            <v>FPD</v>
          </cell>
          <cell r="D27">
            <v>135</v>
          </cell>
          <cell r="E27">
            <v>216</v>
          </cell>
          <cell r="F27">
            <v>215</v>
          </cell>
          <cell r="G27">
            <v>136</v>
          </cell>
          <cell r="H27">
            <v>27</v>
          </cell>
          <cell r="I27">
            <v>44</v>
          </cell>
          <cell r="J27">
            <v>46</v>
          </cell>
          <cell r="K27">
            <v>25</v>
          </cell>
          <cell r="L27">
            <v>33</v>
          </cell>
          <cell r="M27">
            <v>108</v>
          </cell>
          <cell r="N27">
            <v>101</v>
          </cell>
          <cell r="O27">
            <v>40</v>
          </cell>
        </row>
        <row r="28">
          <cell r="B28" t="str">
            <v xml:space="preserve">   IA, S</v>
          </cell>
          <cell r="C28" t="str">
            <v>FPD</v>
          </cell>
          <cell r="D28">
            <v>162</v>
          </cell>
          <cell r="E28">
            <v>223</v>
          </cell>
          <cell r="F28">
            <v>251</v>
          </cell>
          <cell r="G28">
            <v>134</v>
          </cell>
          <cell r="H28">
            <v>51</v>
          </cell>
          <cell r="I28">
            <v>84</v>
          </cell>
          <cell r="J28">
            <v>85</v>
          </cell>
          <cell r="K28">
            <v>50</v>
          </cell>
          <cell r="L28">
            <v>28</v>
          </cell>
          <cell r="M28">
            <v>155</v>
          </cell>
          <cell r="N28">
            <v>150</v>
          </cell>
          <cell r="O28">
            <v>33</v>
          </cell>
        </row>
        <row r="29">
          <cell r="B29" t="str">
            <v>ID</v>
          </cell>
          <cell r="C29" t="str">
            <v>CDO</v>
          </cell>
          <cell r="D29">
            <v>172</v>
          </cell>
          <cell r="E29">
            <v>176</v>
          </cell>
          <cell r="F29">
            <v>235</v>
          </cell>
          <cell r="G29">
            <v>113</v>
          </cell>
          <cell r="H29">
            <v>7</v>
          </cell>
          <cell r="I29">
            <v>7</v>
          </cell>
          <cell r="J29">
            <v>8</v>
          </cell>
          <cell r="K29">
            <v>6</v>
          </cell>
          <cell r="L29">
            <v>96</v>
          </cell>
          <cell r="M29">
            <v>142</v>
          </cell>
          <cell r="N29">
            <v>142</v>
          </cell>
          <cell r="O29">
            <v>96</v>
          </cell>
        </row>
        <row r="30">
          <cell r="B30" t="str">
            <v>IL, C</v>
          </cell>
          <cell r="C30" t="str">
            <v>FPD</v>
          </cell>
          <cell r="D30">
            <v>158</v>
          </cell>
          <cell r="E30">
            <v>132</v>
          </cell>
          <cell r="F30">
            <v>163</v>
          </cell>
          <cell r="G30">
            <v>127</v>
          </cell>
          <cell r="H30">
            <v>127</v>
          </cell>
          <cell r="I30">
            <v>282</v>
          </cell>
          <cell r="J30">
            <v>302</v>
          </cell>
          <cell r="K30">
            <v>107</v>
          </cell>
          <cell r="L30">
            <v>122</v>
          </cell>
          <cell r="M30">
            <v>274</v>
          </cell>
          <cell r="N30">
            <v>299</v>
          </cell>
          <cell r="O30">
            <v>97</v>
          </cell>
        </row>
        <row r="31">
          <cell r="B31" t="str">
            <v>IL, N</v>
          </cell>
          <cell r="C31" t="str">
            <v>CDO</v>
          </cell>
          <cell r="D31">
            <v>577</v>
          </cell>
          <cell r="E31">
            <v>261</v>
          </cell>
          <cell r="F31">
            <v>330</v>
          </cell>
          <cell r="G31">
            <v>508</v>
          </cell>
          <cell r="H31">
            <v>38</v>
          </cell>
          <cell r="I31">
            <v>30</v>
          </cell>
          <cell r="J31">
            <v>31</v>
          </cell>
          <cell r="K31">
            <v>37</v>
          </cell>
          <cell r="L31">
            <v>635</v>
          </cell>
          <cell r="M31">
            <v>233</v>
          </cell>
          <cell r="N31">
            <v>366</v>
          </cell>
          <cell r="O31">
            <v>502</v>
          </cell>
        </row>
        <row r="32">
          <cell r="B32" t="str">
            <v>IL, S</v>
          </cell>
          <cell r="C32" t="str">
            <v>FPD</v>
          </cell>
          <cell r="D32">
            <v>157</v>
          </cell>
          <cell r="E32">
            <v>164</v>
          </cell>
          <cell r="F32">
            <v>164</v>
          </cell>
          <cell r="G32">
            <v>156</v>
          </cell>
          <cell r="H32">
            <v>24</v>
          </cell>
          <cell r="I32">
            <v>30</v>
          </cell>
          <cell r="J32">
            <v>39</v>
          </cell>
          <cell r="K32">
            <v>15</v>
          </cell>
          <cell r="L32">
            <v>140</v>
          </cell>
          <cell r="M32">
            <v>239</v>
          </cell>
          <cell r="N32">
            <v>299</v>
          </cell>
          <cell r="O32">
            <v>81</v>
          </cell>
        </row>
        <row r="33">
          <cell r="B33" t="str">
            <v>IN, N</v>
          </cell>
          <cell r="C33" t="str">
            <v>CDO</v>
          </cell>
          <cell r="D33">
            <v>116</v>
          </cell>
          <cell r="E33">
            <v>179</v>
          </cell>
          <cell r="F33">
            <v>185</v>
          </cell>
          <cell r="G33">
            <v>110</v>
          </cell>
          <cell r="H33">
            <v>9</v>
          </cell>
          <cell r="I33">
            <v>16</v>
          </cell>
          <cell r="J33">
            <v>23</v>
          </cell>
          <cell r="K33">
            <v>2</v>
          </cell>
          <cell r="L33">
            <v>46</v>
          </cell>
          <cell r="M33">
            <v>270</v>
          </cell>
          <cell r="N33">
            <v>279</v>
          </cell>
          <cell r="O33">
            <v>37</v>
          </cell>
        </row>
        <row r="34">
          <cell r="B34" t="str">
            <v>IN, S</v>
          </cell>
          <cell r="C34" t="str">
            <v>CDO</v>
          </cell>
          <cell r="D34">
            <v>294</v>
          </cell>
          <cell r="E34">
            <v>198</v>
          </cell>
          <cell r="F34">
            <v>322</v>
          </cell>
          <cell r="G34">
            <v>169</v>
          </cell>
          <cell r="H34">
            <v>10</v>
          </cell>
          <cell r="I34">
            <v>26</v>
          </cell>
          <cell r="J34">
            <v>27</v>
          </cell>
          <cell r="K34">
            <v>9</v>
          </cell>
          <cell r="L34">
            <v>222</v>
          </cell>
          <cell r="M34">
            <v>367</v>
          </cell>
          <cell r="N34">
            <v>508</v>
          </cell>
          <cell r="O34">
            <v>82</v>
          </cell>
        </row>
        <row r="35">
          <cell r="B35" t="str">
            <v>KS</v>
          </cell>
          <cell r="C35" t="str">
            <v>FPD</v>
          </cell>
          <cell r="D35">
            <v>300</v>
          </cell>
          <cell r="E35">
            <v>295</v>
          </cell>
          <cell r="F35">
            <v>357</v>
          </cell>
          <cell r="G35">
            <v>239</v>
          </cell>
          <cell r="H35">
            <v>72</v>
          </cell>
          <cell r="I35">
            <v>62</v>
          </cell>
          <cell r="J35">
            <v>87</v>
          </cell>
          <cell r="K35">
            <v>46</v>
          </cell>
          <cell r="L35">
            <v>347</v>
          </cell>
          <cell r="M35">
            <v>421</v>
          </cell>
          <cell r="N35">
            <v>489</v>
          </cell>
          <cell r="O35">
            <v>278</v>
          </cell>
        </row>
        <row r="36">
          <cell r="B36" t="str">
            <v>KY, W</v>
          </cell>
          <cell r="C36" t="str">
            <v>CDO</v>
          </cell>
          <cell r="D36">
            <v>164</v>
          </cell>
          <cell r="E36">
            <v>224</v>
          </cell>
          <cell r="F36">
            <v>211</v>
          </cell>
          <cell r="G36">
            <v>177</v>
          </cell>
          <cell r="H36">
            <v>13</v>
          </cell>
          <cell r="I36">
            <v>20</v>
          </cell>
          <cell r="J36">
            <v>29</v>
          </cell>
          <cell r="K36">
            <v>4</v>
          </cell>
          <cell r="L36">
            <v>69</v>
          </cell>
          <cell r="M36">
            <v>121</v>
          </cell>
          <cell r="N36">
            <v>157</v>
          </cell>
          <cell r="O36">
            <v>33</v>
          </cell>
        </row>
        <row r="37">
          <cell r="B37" t="str">
            <v>LA, E</v>
          </cell>
          <cell r="C37" t="str">
            <v>FPD</v>
          </cell>
          <cell r="D37">
            <v>103</v>
          </cell>
          <cell r="E37">
            <v>222</v>
          </cell>
          <cell r="F37">
            <v>151</v>
          </cell>
          <cell r="G37">
            <v>174</v>
          </cell>
          <cell r="H37">
            <v>17</v>
          </cell>
          <cell r="I37">
            <v>35</v>
          </cell>
          <cell r="J37">
            <v>32</v>
          </cell>
          <cell r="K37">
            <v>20</v>
          </cell>
          <cell r="L37">
            <v>76</v>
          </cell>
          <cell r="M37">
            <v>143</v>
          </cell>
          <cell r="N37">
            <v>154</v>
          </cell>
          <cell r="O37">
            <v>65</v>
          </cell>
        </row>
        <row r="38">
          <cell r="B38" t="str">
            <v>TOT: LA, M/W</v>
          </cell>
          <cell r="C38" t="str">
            <v>FPD</v>
          </cell>
          <cell r="D38">
            <v>245</v>
          </cell>
          <cell r="E38">
            <v>246</v>
          </cell>
          <cell r="F38">
            <v>285</v>
          </cell>
          <cell r="G38">
            <v>207</v>
          </cell>
          <cell r="H38">
            <v>78</v>
          </cell>
          <cell r="I38">
            <v>42</v>
          </cell>
          <cell r="J38">
            <v>72</v>
          </cell>
          <cell r="K38">
            <v>48</v>
          </cell>
          <cell r="L38">
            <v>209</v>
          </cell>
          <cell r="M38">
            <v>178</v>
          </cell>
          <cell r="N38">
            <v>222</v>
          </cell>
          <cell r="O38">
            <v>165</v>
          </cell>
        </row>
        <row r="39">
          <cell r="B39" t="str">
            <v xml:space="preserve">   LA, M</v>
          </cell>
          <cell r="C39" t="str">
            <v>FPD</v>
          </cell>
          <cell r="D39">
            <v>32</v>
          </cell>
          <cell r="E39">
            <v>50</v>
          </cell>
          <cell r="F39">
            <v>40</v>
          </cell>
          <cell r="G39">
            <v>42</v>
          </cell>
          <cell r="H39">
            <v>13</v>
          </cell>
          <cell r="I39">
            <v>14</v>
          </cell>
          <cell r="J39">
            <v>17</v>
          </cell>
          <cell r="K39">
            <v>10</v>
          </cell>
          <cell r="L39">
            <v>49</v>
          </cell>
          <cell r="M39">
            <v>30</v>
          </cell>
          <cell r="N39">
            <v>32</v>
          </cell>
          <cell r="O39">
            <v>47</v>
          </cell>
        </row>
        <row r="40">
          <cell r="B40" t="str">
            <v xml:space="preserve">   LA, W</v>
          </cell>
          <cell r="C40" t="str">
            <v>FPD</v>
          </cell>
          <cell r="D40">
            <v>213</v>
          </cell>
          <cell r="E40">
            <v>196</v>
          </cell>
          <cell r="F40">
            <v>245</v>
          </cell>
          <cell r="G40">
            <v>165</v>
          </cell>
          <cell r="H40">
            <v>65</v>
          </cell>
          <cell r="I40">
            <v>28</v>
          </cell>
          <cell r="J40">
            <v>55</v>
          </cell>
          <cell r="K40">
            <v>38</v>
          </cell>
          <cell r="L40">
            <v>160</v>
          </cell>
          <cell r="M40">
            <v>148</v>
          </cell>
          <cell r="N40">
            <v>190</v>
          </cell>
          <cell r="O40">
            <v>118</v>
          </cell>
        </row>
        <row r="41">
          <cell r="B41" t="str">
            <v>TOT: MA/NH/RI</v>
          </cell>
          <cell r="C41" t="str">
            <v>FPD</v>
          </cell>
          <cell r="D41">
            <v>462</v>
          </cell>
          <cell r="E41">
            <v>344</v>
          </cell>
          <cell r="F41">
            <v>405</v>
          </cell>
          <cell r="G41">
            <v>402</v>
          </cell>
          <cell r="H41">
            <v>33</v>
          </cell>
          <cell r="I41">
            <v>31</v>
          </cell>
          <cell r="J41">
            <v>30</v>
          </cell>
          <cell r="K41">
            <v>34</v>
          </cell>
          <cell r="L41">
            <v>230</v>
          </cell>
          <cell r="M41">
            <v>329</v>
          </cell>
          <cell r="N41">
            <v>335</v>
          </cell>
          <cell r="O41">
            <v>225</v>
          </cell>
        </row>
        <row r="42">
          <cell r="B42" t="str">
            <v xml:space="preserve">   MA</v>
          </cell>
          <cell r="C42" t="str">
            <v>FPD</v>
          </cell>
          <cell r="D42">
            <v>292</v>
          </cell>
          <cell r="E42">
            <v>194</v>
          </cell>
          <cell r="F42">
            <v>235</v>
          </cell>
          <cell r="G42">
            <v>251</v>
          </cell>
          <cell r="H42">
            <v>22</v>
          </cell>
          <cell r="I42">
            <v>30</v>
          </cell>
          <cell r="J42">
            <v>22</v>
          </cell>
          <cell r="K42">
            <v>30</v>
          </cell>
          <cell r="L42">
            <v>168</v>
          </cell>
          <cell r="M42">
            <v>199</v>
          </cell>
          <cell r="N42">
            <v>226</v>
          </cell>
          <cell r="O42">
            <v>141</v>
          </cell>
        </row>
        <row r="43">
          <cell r="B43" t="str">
            <v xml:space="preserve">   NH</v>
          </cell>
          <cell r="C43" t="str">
            <v>FPD</v>
          </cell>
          <cell r="D43">
            <v>91</v>
          </cell>
          <cell r="E43">
            <v>97</v>
          </cell>
          <cell r="F43">
            <v>113</v>
          </cell>
          <cell r="G43">
            <v>77</v>
          </cell>
          <cell r="H43">
            <v>8</v>
          </cell>
          <cell r="I43">
            <v>1</v>
          </cell>
          <cell r="J43">
            <v>6</v>
          </cell>
          <cell r="K43">
            <v>3</v>
          </cell>
          <cell r="L43">
            <v>27</v>
          </cell>
          <cell r="M43">
            <v>89</v>
          </cell>
          <cell r="N43">
            <v>69</v>
          </cell>
          <cell r="O43">
            <v>48</v>
          </cell>
        </row>
        <row r="44">
          <cell r="B44" t="str">
            <v xml:space="preserve">   RI</v>
          </cell>
          <cell r="C44" t="str">
            <v>FPD</v>
          </cell>
          <cell r="D44">
            <v>79</v>
          </cell>
          <cell r="E44">
            <v>53</v>
          </cell>
          <cell r="F44">
            <v>57</v>
          </cell>
          <cell r="G44">
            <v>74</v>
          </cell>
          <cell r="H44">
            <v>3</v>
          </cell>
          <cell r="I44">
            <v>0</v>
          </cell>
          <cell r="J44">
            <v>2</v>
          </cell>
          <cell r="K44">
            <v>1</v>
          </cell>
          <cell r="L44">
            <v>35</v>
          </cell>
          <cell r="M44">
            <v>41</v>
          </cell>
          <cell r="N44">
            <v>40</v>
          </cell>
          <cell r="O44">
            <v>36</v>
          </cell>
        </row>
        <row r="45">
          <cell r="B45" t="str">
            <v>MD</v>
          </cell>
          <cell r="C45" t="str">
            <v>FPD</v>
          </cell>
          <cell r="D45">
            <v>621</v>
          </cell>
          <cell r="E45">
            <v>678</v>
          </cell>
          <cell r="F45">
            <v>815</v>
          </cell>
          <cell r="G45">
            <v>484</v>
          </cell>
          <cell r="H45">
            <v>300</v>
          </cell>
          <cell r="I45">
            <v>34</v>
          </cell>
          <cell r="J45">
            <v>224</v>
          </cell>
          <cell r="K45">
            <v>110</v>
          </cell>
          <cell r="L45">
            <v>1011</v>
          </cell>
          <cell r="M45">
            <v>363</v>
          </cell>
          <cell r="N45">
            <v>974</v>
          </cell>
          <cell r="O45">
            <v>400</v>
          </cell>
        </row>
        <row r="46">
          <cell r="B46" t="str">
            <v>ME</v>
          </cell>
          <cell r="C46" t="str">
            <v>FPD</v>
          </cell>
          <cell r="D46">
            <v>74</v>
          </cell>
          <cell r="E46">
            <v>56</v>
          </cell>
          <cell r="F46">
            <v>78</v>
          </cell>
          <cell r="G46">
            <v>52</v>
          </cell>
          <cell r="H46">
            <v>1</v>
          </cell>
          <cell r="I46">
            <v>3</v>
          </cell>
          <cell r="J46">
            <v>3</v>
          </cell>
          <cell r="K46">
            <v>1</v>
          </cell>
          <cell r="L46">
            <v>25</v>
          </cell>
          <cell r="M46">
            <v>51</v>
          </cell>
          <cell r="N46">
            <v>49</v>
          </cell>
          <cell r="O46">
            <v>27</v>
          </cell>
        </row>
        <row r="47">
          <cell r="B47" t="str">
            <v>MI, E</v>
          </cell>
          <cell r="C47" t="str">
            <v>CDO</v>
          </cell>
          <cell r="D47">
            <v>354</v>
          </cell>
          <cell r="E47">
            <v>393</v>
          </cell>
          <cell r="F47">
            <v>456</v>
          </cell>
          <cell r="G47">
            <v>292</v>
          </cell>
          <cell r="H47">
            <v>31</v>
          </cell>
          <cell r="I47">
            <v>49</v>
          </cell>
          <cell r="J47">
            <v>46</v>
          </cell>
          <cell r="K47">
            <v>34</v>
          </cell>
          <cell r="L47">
            <v>231</v>
          </cell>
          <cell r="M47">
            <v>444</v>
          </cell>
          <cell r="N47">
            <v>501</v>
          </cell>
          <cell r="O47">
            <v>174</v>
          </cell>
        </row>
        <row r="48">
          <cell r="B48" t="str">
            <v>MI, W</v>
          </cell>
          <cell r="C48" t="str">
            <v>FPD</v>
          </cell>
          <cell r="D48">
            <v>101</v>
          </cell>
          <cell r="E48">
            <v>141</v>
          </cell>
          <cell r="F48">
            <v>168</v>
          </cell>
          <cell r="G48">
            <v>74</v>
          </cell>
          <cell r="H48">
            <v>27</v>
          </cell>
          <cell r="I48">
            <v>59</v>
          </cell>
          <cell r="J48">
            <v>62</v>
          </cell>
          <cell r="K48">
            <v>24</v>
          </cell>
          <cell r="L48">
            <v>39</v>
          </cell>
          <cell r="M48">
            <v>96</v>
          </cell>
          <cell r="N48">
            <v>91</v>
          </cell>
          <cell r="O48">
            <v>44</v>
          </cell>
        </row>
        <row r="49">
          <cell r="B49" t="str">
            <v>MN</v>
          </cell>
          <cell r="C49" t="str">
            <v>FPD</v>
          </cell>
          <cell r="D49">
            <v>124</v>
          </cell>
          <cell r="E49">
            <v>172</v>
          </cell>
          <cell r="F49">
            <v>195</v>
          </cell>
          <cell r="G49">
            <v>101</v>
          </cell>
          <cell r="H49">
            <v>17</v>
          </cell>
          <cell r="I49">
            <v>43</v>
          </cell>
          <cell r="J49">
            <v>38</v>
          </cell>
          <cell r="K49">
            <v>22</v>
          </cell>
          <cell r="L49">
            <v>148</v>
          </cell>
          <cell r="M49">
            <v>454</v>
          </cell>
          <cell r="N49">
            <v>466</v>
          </cell>
          <cell r="O49">
            <v>136</v>
          </cell>
        </row>
        <row r="50">
          <cell r="B50" t="str">
            <v>MO, E</v>
          </cell>
          <cell r="C50" t="str">
            <v>FPD</v>
          </cell>
          <cell r="D50">
            <v>716</v>
          </cell>
          <cell r="E50">
            <v>583</v>
          </cell>
          <cell r="F50">
            <v>774</v>
          </cell>
          <cell r="G50">
            <v>524</v>
          </cell>
          <cell r="H50">
            <v>25</v>
          </cell>
          <cell r="I50">
            <v>48</v>
          </cell>
          <cell r="J50">
            <v>38</v>
          </cell>
          <cell r="K50">
            <v>35</v>
          </cell>
          <cell r="L50">
            <v>506</v>
          </cell>
          <cell r="M50">
            <v>603</v>
          </cell>
          <cell r="N50">
            <v>805</v>
          </cell>
          <cell r="O50">
            <v>305</v>
          </cell>
        </row>
        <row r="51">
          <cell r="B51" t="str">
            <v>MO, W</v>
          </cell>
          <cell r="C51" t="str">
            <v>FPD</v>
          </cell>
          <cell r="D51">
            <v>590</v>
          </cell>
          <cell r="E51">
            <v>419</v>
          </cell>
          <cell r="F51">
            <v>515</v>
          </cell>
          <cell r="G51">
            <v>493</v>
          </cell>
          <cell r="H51">
            <v>72</v>
          </cell>
          <cell r="I51">
            <v>80</v>
          </cell>
          <cell r="J51">
            <v>93</v>
          </cell>
          <cell r="K51">
            <v>59</v>
          </cell>
          <cell r="L51">
            <v>249</v>
          </cell>
          <cell r="M51">
            <v>559</v>
          </cell>
          <cell r="N51">
            <v>611</v>
          </cell>
          <cell r="O51">
            <v>198</v>
          </cell>
        </row>
        <row r="52">
          <cell r="B52" t="str">
            <v>TOT: MS, N/S</v>
          </cell>
          <cell r="C52" t="str">
            <v>FPD</v>
          </cell>
          <cell r="D52">
            <v>259</v>
          </cell>
          <cell r="E52">
            <v>400</v>
          </cell>
          <cell r="F52">
            <v>361</v>
          </cell>
          <cell r="G52">
            <v>298</v>
          </cell>
          <cell r="H52">
            <v>37</v>
          </cell>
          <cell r="I52">
            <v>48</v>
          </cell>
          <cell r="J52">
            <v>55</v>
          </cell>
          <cell r="K52">
            <v>30</v>
          </cell>
          <cell r="L52">
            <v>110</v>
          </cell>
          <cell r="M52">
            <v>445</v>
          </cell>
          <cell r="N52">
            <v>465</v>
          </cell>
          <cell r="O52">
            <v>90</v>
          </cell>
        </row>
        <row r="53">
          <cell r="B53" t="str">
            <v xml:space="preserve">   MS, N</v>
          </cell>
          <cell r="C53" t="str">
            <v>FPD</v>
          </cell>
          <cell r="D53">
            <v>77</v>
          </cell>
          <cell r="E53">
            <v>123</v>
          </cell>
          <cell r="F53">
            <v>103</v>
          </cell>
          <cell r="G53">
            <v>97</v>
          </cell>
          <cell r="H53">
            <v>5</v>
          </cell>
          <cell r="I53">
            <v>9</v>
          </cell>
          <cell r="J53">
            <v>6</v>
          </cell>
          <cell r="K53">
            <v>8</v>
          </cell>
          <cell r="L53">
            <v>35</v>
          </cell>
          <cell r="M53">
            <v>202</v>
          </cell>
          <cell r="N53">
            <v>209</v>
          </cell>
          <cell r="O53">
            <v>28</v>
          </cell>
        </row>
        <row r="54">
          <cell r="B54" t="str">
            <v xml:space="preserve">   MS, S</v>
          </cell>
          <cell r="C54" t="str">
            <v>FPD</v>
          </cell>
          <cell r="D54">
            <v>182</v>
          </cell>
          <cell r="E54">
            <v>277</v>
          </cell>
          <cell r="F54">
            <v>258</v>
          </cell>
          <cell r="G54">
            <v>201</v>
          </cell>
          <cell r="H54">
            <v>32</v>
          </cell>
          <cell r="I54">
            <v>39</v>
          </cell>
          <cell r="J54">
            <v>49</v>
          </cell>
          <cell r="K54">
            <v>22</v>
          </cell>
          <cell r="L54">
            <v>75</v>
          </cell>
          <cell r="M54">
            <v>243</v>
          </cell>
          <cell r="N54">
            <v>256</v>
          </cell>
          <cell r="O54">
            <v>62</v>
          </cell>
        </row>
        <row r="55">
          <cell r="B55" t="str">
            <v>MT</v>
          </cell>
          <cell r="C55" t="str">
            <v>CDO</v>
          </cell>
          <cell r="D55">
            <v>128</v>
          </cell>
          <cell r="E55">
            <v>261</v>
          </cell>
          <cell r="F55">
            <v>232</v>
          </cell>
          <cell r="G55">
            <v>156</v>
          </cell>
          <cell r="H55">
            <v>39</v>
          </cell>
          <cell r="I55">
            <v>53</v>
          </cell>
          <cell r="J55">
            <v>60</v>
          </cell>
          <cell r="K55">
            <v>32</v>
          </cell>
          <cell r="L55">
            <v>86</v>
          </cell>
          <cell r="M55">
            <v>432</v>
          </cell>
          <cell r="N55">
            <v>446</v>
          </cell>
          <cell r="O55">
            <v>73</v>
          </cell>
        </row>
        <row r="56">
          <cell r="B56" t="str">
            <v>NC, E</v>
          </cell>
          <cell r="C56" t="str">
            <v>FPD</v>
          </cell>
          <cell r="D56">
            <v>1088</v>
          </cell>
          <cell r="E56">
            <v>709</v>
          </cell>
          <cell r="F56">
            <v>493</v>
          </cell>
          <cell r="G56">
            <v>1304</v>
          </cell>
          <cell r="H56">
            <v>595</v>
          </cell>
          <cell r="I56">
            <v>133</v>
          </cell>
          <cell r="J56">
            <v>258</v>
          </cell>
          <cell r="K56">
            <v>470</v>
          </cell>
          <cell r="L56">
            <v>1305</v>
          </cell>
          <cell r="M56">
            <v>813</v>
          </cell>
          <cell r="N56">
            <v>584</v>
          </cell>
          <cell r="O56">
            <v>1534</v>
          </cell>
        </row>
        <row r="57">
          <cell r="B57" t="str">
            <v>NC, M</v>
          </cell>
          <cell r="C57" t="str">
            <v>FPD</v>
          </cell>
          <cell r="D57">
            <v>307</v>
          </cell>
          <cell r="E57">
            <v>221</v>
          </cell>
          <cell r="F57">
            <v>218</v>
          </cell>
          <cell r="G57">
            <v>310</v>
          </cell>
          <cell r="H57">
            <v>121</v>
          </cell>
          <cell r="I57">
            <v>50</v>
          </cell>
          <cell r="J57">
            <v>61</v>
          </cell>
          <cell r="K57">
            <v>110</v>
          </cell>
          <cell r="L57">
            <v>210</v>
          </cell>
          <cell r="M57">
            <v>89</v>
          </cell>
          <cell r="N57">
            <v>116</v>
          </cell>
          <cell r="O57">
            <v>183</v>
          </cell>
        </row>
        <row r="58">
          <cell r="B58" t="str">
            <v>NC, W</v>
          </cell>
          <cell r="C58" t="str">
            <v>FPD</v>
          </cell>
          <cell r="D58">
            <v>252</v>
          </cell>
          <cell r="E58">
            <v>288</v>
          </cell>
          <cell r="F58">
            <v>321</v>
          </cell>
          <cell r="G58">
            <v>219</v>
          </cell>
          <cell r="H58">
            <v>117</v>
          </cell>
          <cell r="I58">
            <v>51</v>
          </cell>
          <cell r="J58">
            <v>99</v>
          </cell>
          <cell r="K58">
            <v>69</v>
          </cell>
          <cell r="L58">
            <v>138</v>
          </cell>
          <cell r="M58">
            <v>507</v>
          </cell>
          <cell r="N58">
            <v>462</v>
          </cell>
          <cell r="O58">
            <v>183</v>
          </cell>
        </row>
        <row r="59">
          <cell r="B59" t="str">
            <v>NE</v>
          </cell>
          <cell r="C59" t="str">
            <v>FPD</v>
          </cell>
          <cell r="D59">
            <v>270</v>
          </cell>
          <cell r="E59">
            <v>321</v>
          </cell>
          <cell r="F59">
            <v>330</v>
          </cell>
          <cell r="G59">
            <v>261</v>
          </cell>
          <cell r="H59">
            <v>16</v>
          </cell>
          <cell r="I59">
            <v>22</v>
          </cell>
          <cell r="J59">
            <v>26</v>
          </cell>
          <cell r="K59">
            <v>12</v>
          </cell>
          <cell r="L59">
            <v>186</v>
          </cell>
          <cell r="M59">
            <v>245</v>
          </cell>
          <cell r="N59">
            <v>262</v>
          </cell>
          <cell r="O59">
            <v>170</v>
          </cell>
        </row>
        <row r="60">
          <cell r="B60" t="str">
            <v>NJ</v>
          </cell>
          <cell r="C60" t="str">
            <v>FPD</v>
          </cell>
          <cell r="D60">
            <v>640</v>
          </cell>
          <cell r="E60">
            <v>540</v>
          </cell>
          <cell r="F60">
            <v>505</v>
          </cell>
          <cell r="G60">
            <v>675</v>
          </cell>
          <cell r="H60">
            <v>52</v>
          </cell>
          <cell r="I60">
            <v>40</v>
          </cell>
          <cell r="J60">
            <v>46</v>
          </cell>
          <cell r="K60">
            <v>46</v>
          </cell>
          <cell r="L60">
            <v>350</v>
          </cell>
          <cell r="M60">
            <v>307</v>
          </cell>
          <cell r="N60">
            <v>338</v>
          </cell>
          <cell r="O60">
            <v>319</v>
          </cell>
        </row>
        <row r="61">
          <cell r="B61" t="str">
            <v>NM</v>
          </cell>
          <cell r="C61" t="str">
            <v>FPD</v>
          </cell>
          <cell r="D61">
            <v>1169</v>
          </cell>
          <cell r="E61">
            <v>1637</v>
          </cell>
          <cell r="F61">
            <v>1727</v>
          </cell>
          <cell r="G61">
            <v>1079</v>
          </cell>
          <cell r="H61">
            <v>34</v>
          </cell>
          <cell r="I61">
            <v>34</v>
          </cell>
          <cell r="J61">
            <v>45</v>
          </cell>
          <cell r="K61">
            <v>23</v>
          </cell>
          <cell r="L61">
            <v>249</v>
          </cell>
          <cell r="M61">
            <v>1530</v>
          </cell>
          <cell r="N61">
            <v>1537</v>
          </cell>
          <cell r="O61">
            <v>242</v>
          </cell>
        </row>
        <row r="62">
          <cell r="B62" t="str">
            <v>NV</v>
          </cell>
          <cell r="C62" t="str">
            <v>FPD</v>
          </cell>
          <cell r="D62">
            <v>440</v>
          </cell>
          <cell r="E62">
            <v>392</v>
          </cell>
          <cell r="F62">
            <v>430</v>
          </cell>
          <cell r="G62">
            <v>403</v>
          </cell>
          <cell r="H62">
            <v>189</v>
          </cell>
          <cell r="I62">
            <v>140</v>
          </cell>
          <cell r="J62">
            <v>206</v>
          </cell>
          <cell r="K62">
            <v>123</v>
          </cell>
          <cell r="L62">
            <v>626</v>
          </cell>
          <cell r="M62">
            <v>395</v>
          </cell>
          <cell r="N62">
            <v>480</v>
          </cell>
          <cell r="O62">
            <v>540</v>
          </cell>
        </row>
        <row r="63">
          <cell r="B63" t="str">
            <v>NY, N</v>
          </cell>
          <cell r="C63" t="str">
            <v>FPD</v>
          </cell>
          <cell r="D63">
            <v>253</v>
          </cell>
          <cell r="E63">
            <v>381</v>
          </cell>
          <cell r="F63">
            <v>386</v>
          </cell>
          <cell r="G63">
            <v>248</v>
          </cell>
          <cell r="H63">
            <v>40</v>
          </cell>
          <cell r="I63">
            <v>65</v>
          </cell>
          <cell r="J63">
            <v>61</v>
          </cell>
          <cell r="K63">
            <v>44</v>
          </cell>
          <cell r="L63">
            <v>107</v>
          </cell>
          <cell r="M63">
            <v>208</v>
          </cell>
          <cell r="N63">
            <v>212</v>
          </cell>
          <cell r="O63">
            <v>103</v>
          </cell>
        </row>
        <row r="64">
          <cell r="B64" t="str">
            <v>TOT: NY, E/S</v>
          </cell>
          <cell r="C64" t="str">
            <v>CDO</v>
          </cell>
          <cell r="D64">
            <v>1129</v>
          </cell>
          <cell r="E64">
            <v>707</v>
          </cell>
          <cell r="F64">
            <v>739</v>
          </cell>
          <cell r="G64">
            <v>1096</v>
          </cell>
          <cell r="H64">
            <v>374</v>
          </cell>
          <cell r="I64">
            <v>162</v>
          </cell>
          <cell r="J64">
            <v>269</v>
          </cell>
          <cell r="K64">
            <v>267</v>
          </cell>
          <cell r="L64">
            <v>628</v>
          </cell>
          <cell r="M64">
            <v>387</v>
          </cell>
          <cell r="N64">
            <v>448</v>
          </cell>
          <cell r="O64">
            <v>567</v>
          </cell>
        </row>
        <row r="65">
          <cell r="B65" t="str">
            <v>NY, E</v>
          </cell>
          <cell r="C65" t="str">
            <v>CDO</v>
          </cell>
          <cell r="D65">
            <v>583</v>
          </cell>
          <cell r="E65">
            <v>342</v>
          </cell>
          <cell r="F65">
            <v>382</v>
          </cell>
          <cell r="G65">
            <v>542</v>
          </cell>
          <cell r="H65">
            <v>65</v>
          </cell>
          <cell r="I65">
            <v>2</v>
          </cell>
          <cell r="J65">
            <v>26</v>
          </cell>
          <cell r="K65">
            <v>41</v>
          </cell>
          <cell r="L65">
            <v>319</v>
          </cell>
          <cell r="M65">
            <v>179</v>
          </cell>
          <cell r="N65">
            <v>253</v>
          </cell>
          <cell r="O65">
            <v>245</v>
          </cell>
        </row>
        <row r="66">
          <cell r="B66" t="str">
            <v>NY, S</v>
          </cell>
          <cell r="C66" t="str">
            <v>CDO</v>
          </cell>
          <cell r="D66">
            <v>546</v>
          </cell>
          <cell r="E66">
            <v>365</v>
          </cell>
          <cell r="F66">
            <v>357</v>
          </cell>
          <cell r="G66">
            <v>554</v>
          </cell>
          <cell r="H66">
            <v>309</v>
          </cell>
          <cell r="I66">
            <v>160</v>
          </cell>
          <cell r="J66">
            <v>243</v>
          </cell>
          <cell r="K66">
            <v>226</v>
          </cell>
          <cell r="L66">
            <v>309</v>
          </cell>
          <cell r="M66">
            <v>208</v>
          </cell>
          <cell r="N66">
            <v>195</v>
          </cell>
          <cell r="O66">
            <v>322</v>
          </cell>
        </row>
        <row r="67">
          <cell r="B67" t="str">
            <v>NY, W</v>
          </cell>
          <cell r="C67" t="str">
            <v>FPD</v>
          </cell>
          <cell r="D67">
            <v>284</v>
          </cell>
          <cell r="E67">
            <v>212</v>
          </cell>
          <cell r="F67">
            <v>231</v>
          </cell>
          <cell r="G67">
            <v>265</v>
          </cell>
          <cell r="H67">
            <v>23</v>
          </cell>
          <cell r="I67">
            <v>34</v>
          </cell>
          <cell r="J67">
            <v>33</v>
          </cell>
          <cell r="K67">
            <v>24</v>
          </cell>
          <cell r="L67">
            <v>113</v>
          </cell>
          <cell r="M67">
            <v>215</v>
          </cell>
          <cell r="N67">
            <v>216</v>
          </cell>
          <cell r="O67">
            <v>112</v>
          </cell>
        </row>
        <row r="68">
          <cell r="B68" t="str">
            <v>OH, N</v>
          </cell>
          <cell r="C68" t="str">
            <v>FPD</v>
          </cell>
          <cell r="D68">
            <v>282</v>
          </cell>
          <cell r="E68">
            <v>297</v>
          </cell>
          <cell r="F68">
            <v>354</v>
          </cell>
          <cell r="G68">
            <v>225</v>
          </cell>
          <cell r="H68">
            <v>38</v>
          </cell>
          <cell r="I68">
            <v>57</v>
          </cell>
          <cell r="J68">
            <v>53</v>
          </cell>
          <cell r="K68">
            <v>42</v>
          </cell>
          <cell r="L68">
            <v>239</v>
          </cell>
          <cell r="M68">
            <v>417</v>
          </cell>
          <cell r="N68">
            <v>420</v>
          </cell>
          <cell r="O68">
            <v>236</v>
          </cell>
        </row>
        <row r="69">
          <cell r="B69" t="str">
            <v>OH, S</v>
          </cell>
          <cell r="C69" t="str">
            <v>FPD</v>
          </cell>
          <cell r="D69">
            <v>300</v>
          </cell>
          <cell r="E69">
            <v>355</v>
          </cell>
          <cell r="F69">
            <v>320</v>
          </cell>
          <cell r="G69">
            <v>335</v>
          </cell>
          <cell r="H69">
            <v>25</v>
          </cell>
          <cell r="I69">
            <v>54</v>
          </cell>
          <cell r="J69">
            <v>48</v>
          </cell>
          <cell r="K69">
            <v>32</v>
          </cell>
          <cell r="L69">
            <v>255</v>
          </cell>
          <cell r="M69">
            <v>198</v>
          </cell>
          <cell r="N69">
            <v>187</v>
          </cell>
          <cell r="O69">
            <v>266</v>
          </cell>
        </row>
        <row r="70">
          <cell r="B70" t="str">
            <v>TOT: OK, E/N</v>
          </cell>
          <cell r="C70" t="str">
            <v>FPD</v>
          </cell>
          <cell r="D70">
            <v>135</v>
          </cell>
          <cell r="E70">
            <v>228</v>
          </cell>
          <cell r="F70">
            <v>168</v>
          </cell>
          <cell r="G70">
            <v>195</v>
          </cell>
          <cell r="H70">
            <v>13</v>
          </cell>
          <cell r="I70">
            <v>11</v>
          </cell>
          <cell r="J70">
            <v>11</v>
          </cell>
          <cell r="K70">
            <v>13</v>
          </cell>
          <cell r="L70">
            <v>44</v>
          </cell>
          <cell r="M70">
            <v>47</v>
          </cell>
          <cell r="N70">
            <v>55</v>
          </cell>
          <cell r="O70">
            <v>36</v>
          </cell>
        </row>
        <row r="71">
          <cell r="B71" t="str">
            <v xml:space="preserve">   OK, E</v>
          </cell>
          <cell r="C71" t="str">
            <v>FPD</v>
          </cell>
          <cell r="D71">
            <v>48</v>
          </cell>
          <cell r="E71">
            <v>90</v>
          </cell>
          <cell r="F71">
            <v>45</v>
          </cell>
          <cell r="G71">
            <v>93</v>
          </cell>
          <cell r="H71">
            <v>4</v>
          </cell>
          <cell r="I71">
            <v>6</v>
          </cell>
          <cell r="J71">
            <v>3</v>
          </cell>
          <cell r="K71">
            <v>7</v>
          </cell>
          <cell r="L71">
            <v>10</v>
          </cell>
          <cell r="M71">
            <v>17</v>
          </cell>
          <cell r="N71">
            <v>20</v>
          </cell>
          <cell r="O71">
            <v>7</v>
          </cell>
        </row>
        <row r="72">
          <cell r="B72" t="str">
            <v xml:space="preserve">   OK, N</v>
          </cell>
          <cell r="C72" t="str">
            <v>FPD</v>
          </cell>
          <cell r="D72">
            <v>87</v>
          </cell>
          <cell r="E72">
            <v>138</v>
          </cell>
          <cell r="F72">
            <v>123</v>
          </cell>
          <cell r="G72">
            <v>102</v>
          </cell>
          <cell r="H72">
            <v>9</v>
          </cell>
          <cell r="I72">
            <v>5</v>
          </cell>
          <cell r="J72">
            <v>8</v>
          </cell>
          <cell r="K72">
            <v>6</v>
          </cell>
          <cell r="L72">
            <v>34</v>
          </cell>
          <cell r="M72">
            <v>30</v>
          </cell>
          <cell r="N72">
            <v>35</v>
          </cell>
          <cell r="O72">
            <v>29</v>
          </cell>
        </row>
        <row r="73">
          <cell r="B73" t="str">
            <v>OK, W</v>
          </cell>
          <cell r="C73" t="str">
            <v>FPD</v>
          </cell>
          <cell r="D73">
            <v>191</v>
          </cell>
          <cell r="E73">
            <v>282</v>
          </cell>
          <cell r="F73">
            <v>250</v>
          </cell>
          <cell r="G73">
            <v>223</v>
          </cell>
          <cell r="H73">
            <v>37</v>
          </cell>
          <cell r="I73">
            <v>21</v>
          </cell>
          <cell r="J73">
            <v>35</v>
          </cell>
          <cell r="K73">
            <v>23</v>
          </cell>
          <cell r="L73">
            <v>150</v>
          </cell>
          <cell r="M73">
            <v>152</v>
          </cell>
          <cell r="N73">
            <v>170</v>
          </cell>
          <cell r="O73">
            <v>132</v>
          </cell>
        </row>
        <row r="74">
          <cell r="B74" t="str">
            <v>OR</v>
          </cell>
          <cell r="C74" t="str">
            <v>FPD</v>
          </cell>
          <cell r="D74">
            <v>843</v>
          </cell>
          <cell r="E74">
            <v>429</v>
          </cell>
          <cell r="F74">
            <v>738</v>
          </cell>
          <cell r="G74">
            <v>534</v>
          </cell>
          <cell r="H74">
            <v>89</v>
          </cell>
          <cell r="I74">
            <v>65</v>
          </cell>
          <cell r="J74">
            <v>63</v>
          </cell>
          <cell r="K74">
            <v>91</v>
          </cell>
          <cell r="L74">
            <v>1039</v>
          </cell>
          <cell r="M74">
            <v>977</v>
          </cell>
          <cell r="N74">
            <v>1024</v>
          </cell>
          <cell r="O74">
            <v>992</v>
          </cell>
        </row>
        <row r="75">
          <cell r="B75" t="str">
            <v>PA, E</v>
          </cell>
          <cell r="C75" t="str">
            <v>CDO</v>
          </cell>
          <cell r="D75">
            <v>339</v>
          </cell>
          <cell r="E75">
            <v>240</v>
          </cell>
          <cell r="F75">
            <v>280</v>
          </cell>
          <cell r="G75">
            <v>299</v>
          </cell>
          <cell r="H75">
            <v>397</v>
          </cell>
          <cell r="I75">
            <v>94</v>
          </cell>
          <cell r="J75">
            <v>128</v>
          </cell>
          <cell r="K75">
            <v>363</v>
          </cell>
          <cell r="L75">
            <v>506</v>
          </cell>
          <cell r="M75">
            <v>445</v>
          </cell>
          <cell r="N75">
            <v>524</v>
          </cell>
          <cell r="O75">
            <v>427</v>
          </cell>
        </row>
        <row r="76">
          <cell r="B76" t="str">
            <v>PA, M</v>
          </cell>
          <cell r="C76" t="str">
            <v>FPD</v>
          </cell>
          <cell r="D76">
            <v>237</v>
          </cell>
          <cell r="E76">
            <v>293</v>
          </cell>
          <cell r="F76">
            <v>267</v>
          </cell>
          <cell r="G76">
            <v>263</v>
          </cell>
          <cell r="H76">
            <v>82</v>
          </cell>
          <cell r="I76">
            <v>64</v>
          </cell>
          <cell r="J76">
            <v>84</v>
          </cell>
          <cell r="K76">
            <v>62</v>
          </cell>
          <cell r="L76">
            <v>208</v>
          </cell>
          <cell r="M76">
            <v>220</v>
          </cell>
          <cell r="N76">
            <v>244</v>
          </cell>
          <cell r="O76">
            <v>184</v>
          </cell>
        </row>
        <row r="77">
          <cell r="B77" t="str">
            <v>PA, W</v>
          </cell>
          <cell r="C77" t="str">
            <v>FPD</v>
          </cell>
          <cell r="D77">
            <v>378</v>
          </cell>
          <cell r="E77">
            <v>293</v>
          </cell>
          <cell r="F77">
            <v>238</v>
          </cell>
          <cell r="G77">
            <v>433</v>
          </cell>
          <cell r="H77">
            <v>49</v>
          </cell>
          <cell r="I77">
            <v>48</v>
          </cell>
          <cell r="J77">
            <v>51</v>
          </cell>
          <cell r="K77">
            <v>46</v>
          </cell>
          <cell r="L77">
            <v>255</v>
          </cell>
          <cell r="M77">
            <v>126</v>
          </cell>
          <cell r="N77">
            <v>171</v>
          </cell>
          <cell r="O77">
            <v>211</v>
          </cell>
        </row>
        <row r="78">
          <cell r="B78" t="str">
            <v>PR</v>
          </cell>
          <cell r="C78" t="str">
            <v>FPD</v>
          </cell>
          <cell r="D78">
            <v>398</v>
          </cell>
          <cell r="E78">
            <v>391</v>
          </cell>
          <cell r="F78">
            <v>332</v>
          </cell>
          <cell r="G78">
            <v>457</v>
          </cell>
          <cell r="H78">
            <v>67</v>
          </cell>
          <cell r="I78">
            <v>92</v>
          </cell>
          <cell r="J78">
            <v>87</v>
          </cell>
          <cell r="K78">
            <v>72</v>
          </cell>
          <cell r="L78">
            <v>302</v>
          </cell>
          <cell r="M78">
            <v>815</v>
          </cell>
          <cell r="N78">
            <v>834</v>
          </cell>
          <cell r="O78">
            <v>283</v>
          </cell>
        </row>
        <row r="79">
          <cell r="B79" t="str">
            <v>SC</v>
          </cell>
          <cell r="C79" t="str">
            <v>FPD</v>
          </cell>
          <cell r="D79">
            <v>282</v>
          </cell>
          <cell r="E79">
            <v>392</v>
          </cell>
          <cell r="F79">
            <v>360</v>
          </cell>
          <cell r="G79">
            <v>314</v>
          </cell>
          <cell r="H79">
            <v>73</v>
          </cell>
          <cell r="I79">
            <v>70</v>
          </cell>
          <cell r="J79">
            <v>87</v>
          </cell>
          <cell r="K79">
            <v>56</v>
          </cell>
          <cell r="L79">
            <v>252</v>
          </cell>
          <cell r="M79">
            <v>504</v>
          </cell>
          <cell r="N79">
            <v>518</v>
          </cell>
          <cell r="O79">
            <v>238</v>
          </cell>
        </row>
        <row r="80">
          <cell r="B80" t="str">
            <v>TOT: ND/SD</v>
          </cell>
          <cell r="C80" t="str">
            <v>FPD</v>
          </cell>
          <cell r="D80">
            <v>449</v>
          </cell>
          <cell r="E80">
            <v>543</v>
          </cell>
          <cell r="F80">
            <v>587</v>
          </cell>
          <cell r="G80">
            <v>405</v>
          </cell>
          <cell r="H80">
            <v>37</v>
          </cell>
          <cell r="I80">
            <v>71</v>
          </cell>
          <cell r="J80">
            <v>67</v>
          </cell>
          <cell r="K80">
            <v>41</v>
          </cell>
          <cell r="L80">
            <v>168</v>
          </cell>
          <cell r="M80">
            <v>644</v>
          </cell>
          <cell r="N80">
            <v>670</v>
          </cell>
          <cell r="O80">
            <v>142</v>
          </cell>
        </row>
        <row r="81">
          <cell r="B81" t="str">
            <v xml:space="preserve">   ND</v>
          </cell>
          <cell r="C81" t="str">
            <v>FPD</v>
          </cell>
          <cell r="D81">
            <v>160</v>
          </cell>
          <cell r="E81">
            <v>155</v>
          </cell>
          <cell r="F81">
            <v>178</v>
          </cell>
          <cell r="G81">
            <v>137</v>
          </cell>
          <cell r="H81">
            <v>16</v>
          </cell>
          <cell r="I81">
            <v>22</v>
          </cell>
          <cell r="J81">
            <v>27</v>
          </cell>
          <cell r="K81">
            <v>11</v>
          </cell>
          <cell r="L81">
            <v>38</v>
          </cell>
          <cell r="M81">
            <v>185</v>
          </cell>
          <cell r="N81">
            <v>184</v>
          </cell>
          <cell r="O81">
            <v>39</v>
          </cell>
        </row>
        <row r="82">
          <cell r="B82" t="str">
            <v xml:space="preserve">   SD</v>
          </cell>
          <cell r="C82" t="str">
            <v>FPD</v>
          </cell>
          <cell r="D82">
            <v>289</v>
          </cell>
          <cell r="E82">
            <v>388</v>
          </cell>
          <cell r="F82">
            <v>409</v>
          </cell>
          <cell r="G82">
            <v>268</v>
          </cell>
          <cell r="H82">
            <v>21</v>
          </cell>
          <cell r="I82">
            <v>49</v>
          </cell>
          <cell r="J82">
            <v>40</v>
          </cell>
          <cell r="K82">
            <v>30</v>
          </cell>
          <cell r="L82">
            <v>130</v>
          </cell>
          <cell r="M82">
            <v>459</v>
          </cell>
          <cell r="N82">
            <v>486</v>
          </cell>
          <cell r="O82">
            <v>103</v>
          </cell>
        </row>
        <row r="83">
          <cell r="B83" t="str">
            <v>TN, E</v>
          </cell>
          <cell r="C83" t="str">
            <v>CDO</v>
          </cell>
          <cell r="D83">
            <v>329</v>
          </cell>
          <cell r="E83">
            <v>377</v>
          </cell>
          <cell r="F83">
            <v>397</v>
          </cell>
          <cell r="G83">
            <v>309</v>
          </cell>
          <cell r="H83">
            <v>57</v>
          </cell>
          <cell r="I83">
            <v>35</v>
          </cell>
          <cell r="J83">
            <v>60</v>
          </cell>
          <cell r="K83">
            <v>32</v>
          </cell>
          <cell r="L83">
            <v>280</v>
          </cell>
          <cell r="M83">
            <v>458</v>
          </cell>
          <cell r="N83">
            <v>525</v>
          </cell>
          <cell r="O83">
            <v>213</v>
          </cell>
        </row>
        <row r="84">
          <cell r="B84" t="str">
            <v>TN, M</v>
          </cell>
          <cell r="C84" t="str">
            <v>FPD</v>
          </cell>
          <cell r="D84">
            <v>252</v>
          </cell>
          <cell r="E84">
            <v>286</v>
          </cell>
          <cell r="F84">
            <v>262</v>
          </cell>
          <cell r="G84">
            <v>276</v>
          </cell>
          <cell r="H84">
            <v>16</v>
          </cell>
          <cell r="I84">
            <v>19</v>
          </cell>
          <cell r="J84">
            <v>19</v>
          </cell>
          <cell r="K84">
            <v>16</v>
          </cell>
          <cell r="L84">
            <v>96</v>
          </cell>
          <cell r="M84">
            <v>65</v>
          </cell>
          <cell r="N84">
            <v>70</v>
          </cell>
          <cell r="O84">
            <v>91</v>
          </cell>
        </row>
        <row r="85">
          <cell r="B85" t="str">
            <v>TN, W</v>
          </cell>
          <cell r="C85" t="str">
            <v>FPD</v>
          </cell>
          <cell r="D85">
            <v>260</v>
          </cell>
          <cell r="E85">
            <v>263</v>
          </cell>
          <cell r="F85">
            <v>295</v>
          </cell>
          <cell r="G85">
            <v>228</v>
          </cell>
          <cell r="H85">
            <v>34</v>
          </cell>
          <cell r="I85">
            <v>35</v>
          </cell>
          <cell r="J85">
            <v>52</v>
          </cell>
          <cell r="K85">
            <v>17</v>
          </cell>
          <cell r="L85">
            <v>155</v>
          </cell>
          <cell r="M85">
            <v>253</v>
          </cell>
          <cell r="N85">
            <v>272</v>
          </cell>
          <cell r="O85">
            <v>136</v>
          </cell>
        </row>
        <row r="86">
          <cell r="B86" t="str">
            <v>TX, E</v>
          </cell>
          <cell r="C86" t="str">
            <v>FPD</v>
          </cell>
          <cell r="D86">
            <v>327</v>
          </cell>
          <cell r="E86">
            <v>459</v>
          </cell>
          <cell r="F86">
            <v>382</v>
          </cell>
          <cell r="G86">
            <v>404</v>
          </cell>
          <cell r="H86">
            <v>13</v>
          </cell>
          <cell r="I86">
            <v>17</v>
          </cell>
          <cell r="J86">
            <v>22</v>
          </cell>
          <cell r="K86">
            <v>8</v>
          </cell>
          <cell r="L86">
            <v>37</v>
          </cell>
          <cell r="M86">
            <v>213</v>
          </cell>
          <cell r="N86">
            <v>201</v>
          </cell>
          <cell r="O86">
            <v>49</v>
          </cell>
        </row>
        <row r="87">
          <cell r="B87" t="str">
            <v>TX, N</v>
          </cell>
          <cell r="C87" t="str">
            <v>FPD</v>
          </cell>
          <cell r="D87">
            <v>481</v>
          </cell>
          <cell r="E87">
            <v>719</v>
          </cell>
          <cell r="F87">
            <v>742</v>
          </cell>
          <cell r="G87">
            <v>458</v>
          </cell>
          <cell r="H87">
            <v>307</v>
          </cell>
          <cell r="I87">
            <v>459</v>
          </cell>
          <cell r="J87">
            <v>510</v>
          </cell>
          <cell r="K87">
            <v>256</v>
          </cell>
          <cell r="L87">
            <v>158</v>
          </cell>
          <cell r="M87">
            <v>635</v>
          </cell>
          <cell r="N87">
            <v>620</v>
          </cell>
          <cell r="O87">
            <v>173</v>
          </cell>
        </row>
        <row r="88">
          <cell r="B88" t="str">
            <v>TX, S</v>
          </cell>
          <cell r="C88" t="str">
            <v>FPD</v>
          </cell>
          <cell r="D88">
            <v>2724</v>
          </cell>
          <cell r="E88">
            <v>5852</v>
          </cell>
          <cell r="F88">
            <v>6026</v>
          </cell>
          <cell r="G88">
            <v>2551</v>
          </cell>
          <cell r="H88">
            <v>188</v>
          </cell>
          <cell r="I88">
            <v>212</v>
          </cell>
          <cell r="J88">
            <v>292</v>
          </cell>
          <cell r="K88">
            <v>109</v>
          </cell>
          <cell r="L88">
            <v>420</v>
          </cell>
          <cell r="M88">
            <v>1852</v>
          </cell>
          <cell r="N88">
            <v>1854</v>
          </cell>
          <cell r="O88">
            <v>417</v>
          </cell>
        </row>
        <row r="89">
          <cell r="B89" t="str">
            <v>TX, W</v>
          </cell>
          <cell r="C89" t="str">
            <v>FPD</v>
          </cell>
          <cell r="D89">
            <v>2259</v>
          </cell>
          <cell r="E89">
            <v>4009</v>
          </cell>
          <cell r="F89">
            <v>3567</v>
          </cell>
          <cell r="G89">
            <v>2701</v>
          </cell>
          <cell r="H89">
            <v>292</v>
          </cell>
          <cell r="I89">
            <v>386</v>
          </cell>
          <cell r="J89">
            <v>356</v>
          </cell>
          <cell r="K89">
            <v>322</v>
          </cell>
          <cell r="L89">
            <v>346</v>
          </cell>
          <cell r="M89">
            <v>1266</v>
          </cell>
          <cell r="N89">
            <v>1226</v>
          </cell>
          <cell r="O89">
            <v>386</v>
          </cell>
        </row>
        <row r="90">
          <cell r="B90" t="str">
            <v>UT</v>
          </cell>
          <cell r="C90" t="str">
            <v>FPD</v>
          </cell>
          <cell r="D90">
            <v>701</v>
          </cell>
          <cell r="E90">
            <v>568</v>
          </cell>
          <cell r="F90">
            <v>509</v>
          </cell>
          <cell r="G90">
            <v>760</v>
          </cell>
          <cell r="H90">
            <v>53</v>
          </cell>
          <cell r="I90">
            <v>21</v>
          </cell>
          <cell r="J90">
            <v>26</v>
          </cell>
          <cell r="K90">
            <v>48</v>
          </cell>
          <cell r="L90">
            <v>443</v>
          </cell>
          <cell r="M90">
            <v>320</v>
          </cell>
          <cell r="N90">
            <v>325</v>
          </cell>
          <cell r="O90">
            <v>438</v>
          </cell>
        </row>
        <row r="91">
          <cell r="B91" t="str">
            <v>VA, E</v>
          </cell>
          <cell r="C91" t="str">
            <v>FPD</v>
          </cell>
          <cell r="D91">
            <v>392</v>
          </cell>
          <cell r="E91">
            <v>640</v>
          </cell>
          <cell r="F91">
            <v>713</v>
          </cell>
          <cell r="G91">
            <v>319</v>
          </cell>
          <cell r="H91">
            <v>199</v>
          </cell>
          <cell r="I91">
            <v>54</v>
          </cell>
          <cell r="J91">
            <v>186</v>
          </cell>
          <cell r="K91">
            <v>67</v>
          </cell>
          <cell r="L91">
            <v>742</v>
          </cell>
          <cell r="M91">
            <v>662</v>
          </cell>
          <cell r="N91">
            <v>875</v>
          </cell>
          <cell r="O91">
            <v>530</v>
          </cell>
        </row>
        <row r="92">
          <cell r="B92" t="str">
            <v>VA, W</v>
          </cell>
          <cell r="C92" t="str">
            <v>FPD</v>
          </cell>
          <cell r="D92">
            <v>250</v>
          </cell>
          <cell r="E92">
            <v>256</v>
          </cell>
          <cell r="F92">
            <v>349</v>
          </cell>
          <cell r="G92">
            <v>157</v>
          </cell>
          <cell r="H92">
            <v>26</v>
          </cell>
          <cell r="I92">
            <v>37</v>
          </cell>
          <cell r="J92">
            <v>38</v>
          </cell>
          <cell r="K92">
            <v>25</v>
          </cell>
          <cell r="L92">
            <v>231</v>
          </cell>
          <cell r="M92">
            <v>255</v>
          </cell>
          <cell r="N92">
            <v>284</v>
          </cell>
          <cell r="O92">
            <v>202</v>
          </cell>
        </row>
        <row r="93">
          <cell r="B93" t="str">
            <v>VI</v>
          </cell>
          <cell r="C93" t="str">
            <v>FPD</v>
          </cell>
          <cell r="D93">
            <v>53</v>
          </cell>
          <cell r="E93">
            <v>55</v>
          </cell>
          <cell r="F93">
            <v>53</v>
          </cell>
          <cell r="G93">
            <v>55</v>
          </cell>
          <cell r="H93">
            <v>6</v>
          </cell>
          <cell r="I93">
            <v>11</v>
          </cell>
          <cell r="J93">
            <v>7</v>
          </cell>
          <cell r="K93">
            <v>10</v>
          </cell>
          <cell r="L93">
            <v>14</v>
          </cell>
          <cell r="M93">
            <v>7</v>
          </cell>
          <cell r="N93">
            <v>16</v>
          </cell>
          <cell r="O93">
            <v>5</v>
          </cell>
        </row>
        <row r="94">
          <cell r="B94" t="str">
            <v>VT</v>
          </cell>
          <cell r="C94" t="str">
            <v>FPD</v>
          </cell>
          <cell r="D94">
            <v>77</v>
          </cell>
          <cell r="E94">
            <v>78</v>
          </cell>
          <cell r="F94">
            <v>83</v>
          </cell>
          <cell r="G94">
            <v>72</v>
          </cell>
          <cell r="H94">
            <v>14</v>
          </cell>
          <cell r="I94">
            <v>8</v>
          </cell>
          <cell r="J94">
            <v>16</v>
          </cell>
          <cell r="K94">
            <v>6</v>
          </cell>
          <cell r="L94">
            <v>135</v>
          </cell>
          <cell r="M94">
            <v>87</v>
          </cell>
          <cell r="N94">
            <v>139</v>
          </cell>
          <cell r="O94">
            <v>83</v>
          </cell>
        </row>
        <row r="95">
          <cell r="B95" t="str">
            <v>WA, E</v>
          </cell>
          <cell r="C95" t="str">
            <v>CDO</v>
          </cell>
          <cell r="D95">
            <v>218</v>
          </cell>
          <cell r="E95">
            <v>253</v>
          </cell>
          <cell r="F95">
            <v>208</v>
          </cell>
          <cell r="G95">
            <v>263</v>
          </cell>
          <cell r="H95">
            <v>31</v>
          </cell>
          <cell r="I95">
            <v>26</v>
          </cell>
          <cell r="J95">
            <v>26</v>
          </cell>
          <cell r="K95">
            <v>31</v>
          </cell>
          <cell r="L95">
            <v>228</v>
          </cell>
          <cell r="M95">
            <v>781</v>
          </cell>
          <cell r="N95">
            <v>707</v>
          </cell>
          <cell r="O95">
            <v>302</v>
          </cell>
        </row>
        <row r="96">
          <cell r="B96" t="str">
            <v>WA, W</v>
          </cell>
          <cell r="C96" t="str">
            <v>FPD</v>
          </cell>
          <cell r="D96">
            <v>191</v>
          </cell>
          <cell r="E96">
            <v>345</v>
          </cell>
          <cell r="F96">
            <v>369</v>
          </cell>
          <cell r="G96">
            <v>167</v>
          </cell>
          <cell r="H96">
            <v>13</v>
          </cell>
          <cell r="I96">
            <v>29</v>
          </cell>
          <cell r="J96">
            <v>27</v>
          </cell>
          <cell r="K96">
            <v>15</v>
          </cell>
          <cell r="L96">
            <v>279</v>
          </cell>
          <cell r="M96">
            <v>627</v>
          </cell>
          <cell r="N96">
            <v>649</v>
          </cell>
          <cell r="O96">
            <v>257</v>
          </cell>
        </row>
        <row r="97">
          <cell r="B97" t="str">
            <v>TOT: WI, E/W</v>
          </cell>
          <cell r="C97" t="str">
            <v>CDO</v>
          </cell>
          <cell r="D97">
            <v>215</v>
          </cell>
          <cell r="E97">
            <v>247</v>
          </cell>
          <cell r="F97">
            <v>257</v>
          </cell>
          <cell r="G97">
            <v>205</v>
          </cell>
          <cell r="H97">
            <v>18</v>
          </cell>
          <cell r="I97">
            <v>27</v>
          </cell>
          <cell r="J97">
            <v>28</v>
          </cell>
          <cell r="K97">
            <v>17</v>
          </cell>
          <cell r="L97">
            <v>189</v>
          </cell>
          <cell r="M97">
            <v>316</v>
          </cell>
          <cell r="N97">
            <v>349</v>
          </cell>
          <cell r="O97">
            <v>154</v>
          </cell>
        </row>
        <row r="98">
          <cell r="B98" t="str">
            <v xml:space="preserve">   WI, E</v>
          </cell>
          <cell r="C98" t="str">
            <v>CDO</v>
          </cell>
          <cell r="D98">
            <v>168</v>
          </cell>
          <cell r="E98">
            <v>171</v>
          </cell>
          <cell r="F98">
            <v>181</v>
          </cell>
          <cell r="G98">
            <v>159</v>
          </cell>
          <cell r="H98">
            <v>9</v>
          </cell>
          <cell r="I98">
            <v>11</v>
          </cell>
          <cell r="J98">
            <v>15</v>
          </cell>
          <cell r="K98">
            <v>5</v>
          </cell>
          <cell r="L98">
            <v>165</v>
          </cell>
          <cell r="M98">
            <v>258</v>
          </cell>
          <cell r="N98">
            <v>291</v>
          </cell>
          <cell r="O98">
            <v>131</v>
          </cell>
        </row>
        <row r="99">
          <cell r="B99" t="str">
            <v xml:space="preserve">   WI, W</v>
          </cell>
          <cell r="C99" t="str">
            <v>CDO</v>
          </cell>
          <cell r="D99">
            <v>47</v>
          </cell>
          <cell r="E99">
            <v>76</v>
          </cell>
          <cell r="F99">
            <v>76</v>
          </cell>
          <cell r="G99">
            <v>46</v>
          </cell>
          <cell r="H99">
            <v>9</v>
          </cell>
          <cell r="I99">
            <v>16</v>
          </cell>
          <cell r="J99">
            <v>13</v>
          </cell>
          <cell r="K99">
            <v>12</v>
          </cell>
          <cell r="L99">
            <v>24</v>
          </cell>
          <cell r="M99">
            <v>58</v>
          </cell>
          <cell r="N99">
            <v>58</v>
          </cell>
          <cell r="O99">
            <v>23</v>
          </cell>
        </row>
        <row r="100">
          <cell r="B100" t="str">
            <v>WV, N</v>
          </cell>
          <cell r="C100" t="str">
            <v>FPD</v>
          </cell>
          <cell r="D100">
            <v>150</v>
          </cell>
          <cell r="E100">
            <v>167</v>
          </cell>
          <cell r="F100">
            <v>189</v>
          </cell>
          <cell r="G100">
            <v>128</v>
          </cell>
          <cell r="H100">
            <v>17</v>
          </cell>
          <cell r="I100">
            <v>33</v>
          </cell>
          <cell r="J100">
            <v>18</v>
          </cell>
          <cell r="K100">
            <v>32</v>
          </cell>
          <cell r="L100">
            <v>144</v>
          </cell>
          <cell r="M100">
            <v>195</v>
          </cell>
          <cell r="N100">
            <v>211</v>
          </cell>
          <cell r="O100">
            <v>128</v>
          </cell>
        </row>
        <row r="101">
          <cell r="B101" t="str">
            <v>WV, S</v>
          </cell>
          <cell r="C101" t="str">
            <v>FPD</v>
          </cell>
          <cell r="D101">
            <v>104</v>
          </cell>
          <cell r="E101">
            <v>138</v>
          </cell>
          <cell r="F101">
            <v>92</v>
          </cell>
          <cell r="G101">
            <v>150</v>
          </cell>
          <cell r="H101">
            <v>30</v>
          </cell>
          <cell r="I101">
            <v>28</v>
          </cell>
          <cell r="J101">
            <v>35</v>
          </cell>
          <cell r="K101">
            <v>23</v>
          </cell>
          <cell r="L101">
            <v>76</v>
          </cell>
          <cell r="M101">
            <v>84</v>
          </cell>
          <cell r="N101">
            <v>79</v>
          </cell>
          <cell r="O101">
            <v>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2310-48BD-49FD-ACED-C66CE223AA08}">
  <dimension ref="A1:P612"/>
  <sheetViews>
    <sheetView showGridLines="0" tabSelected="1" view="pageBreakPreview" topLeftCell="A24" zoomScale="60" zoomScaleNormal="100" workbookViewId="0">
      <selection activeCell="C107" sqref="C107"/>
    </sheetView>
  </sheetViews>
  <sheetFormatPr defaultRowHeight="14.4" x14ac:dyDescent="0.3"/>
  <cols>
    <col min="1" max="1" width="5.6640625" customWidth="1"/>
    <col min="2" max="2" width="2.6640625" customWidth="1"/>
    <col min="3" max="3" width="9.6640625" customWidth="1"/>
    <col min="4" max="5" width="5.6640625" customWidth="1"/>
    <col min="6" max="6" width="12.6640625" customWidth="1"/>
    <col min="7" max="8" width="5.6640625" customWidth="1"/>
    <col min="9" max="9" width="12.6640625" customWidth="1"/>
    <col min="10" max="11" width="5.6640625" customWidth="1"/>
    <col min="12" max="12" width="12.6640625" customWidth="1"/>
    <col min="13" max="14" width="5.6640625" customWidth="1"/>
    <col min="15" max="15" width="12.6640625" customWidth="1"/>
    <col min="16" max="16" width="5.6640625" customWidth="1"/>
  </cols>
  <sheetData>
    <row r="1" spans="1:16" ht="13.5" customHeight="1" x14ac:dyDescent="0.3"/>
    <row r="2" spans="1:16" ht="13.5" customHeight="1" x14ac:dyDescent="0.3">
      <c r="A2" s="7" t="s">
        <v>15</v>
      </c>
    </row>
    <row r="3" spans="1:16" ht="13.5" customHeight="1" x14ac:dyDescent="0.3">
      <c r="A3" s="7" t="s">
        <v>14</v>
      </c>
    </row>
    <row r="4" spans="1:16" ht="13.5" customHeight="1" x14ac:dyDescent="0.3">
      <c r="A4" s="7" t="str">
        <f>"During the 12-Month Period Ending September 30, "&amp;'[1]Raw Data'!$A$2</f>
        <v>During the 12-Month Period Ending September 30, 2022</v>
      </c>
    </row>
    <row r="5" spans="1:16" ht="13.5" customHeight="1" x14ac:dyDescent="0.3"/>
    <row r="6" spans="1:16" ht="15" customHeight="1" x14ac:dyDescent="0.3">
      <c r="A6" s="11" t="s">
        <v>12</v>
      </c>
      <c r="B6" s="11"/>
      <c r="C6" s="11"/>
      <c r="D6" s="12"/>
      <c r="E6" s="10" t="s">
        <v>10</v>
      </c>
      <c r="F6" s="11"/>
      <c r="G6" s="12"/>
      <c r="H6" s="10" t="s">
        <v>11</v>
      </c>
      <c r="I6" s="11"/>
      <c r="J6" s="12"/>
      <c r="K6" s="10" t="s">
        <v>11</v>
      </c>
      <c r="L6" s="11"/>
      <c r="M6" s="12"/>
      <c r="N6" s="10" t="s">
        <v>10</v>
      </c>
      <c r="O6" s="11"/>
      <c r="P6" s="11"/>
    </row>
    <row r="7" spans="1:16" ht="13.5" customHeight="1" x14ac:dyDescent="0.3">
      <c r="A7" s="14" t="s">
        <v>9</v>
      </c>
      <c r="B7" s="14"/>
      <c r="C7" s="14"/>
      <c r="D7" s="15"/>
      <c r="E7" s="13" t="s">
        <v>8</v>
      </c>
      <c r="F7" s="14"/>
      <c r="G7" s="15"/>
      <c r="H7" s="13" t="s">
        <v>7</v>
      </c>
      <c r="I7" s="14"/>
      <c r="J7" s="15"/>
      <c r="K7" s="13" t="s">
        <v>6</v>
      </c>
      <c r="L7" s="14"/>
      <c r="M7" s="15"/>
      <c r="N7" s="13" t="s">
        <v>5</v>
      </c>
      <c r="O7" s="14"/>
      <c r="P7" s="14"/>
    </row>
    <row r="8" spans="1:16" ht="3.7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8" customHeight="1" x14ac:dyDescent="0.3">
      <c r="A9" s="1"/>
      <c r="B9" s="1"/>
      <c r="C9" s="9" t="s">
        <v>13</v>
      </c>
      <c r="D9" s="1"/>
      <c r="E9" s="1"/>
      <c r="F9" s="4">
        <f>SUM(F10:F12)</f>
        <v>61949</v>
      </c>
      <c r="G9" s="4"/>
      <c r="H9" s="4"/>
      <c r="I9" s="4">
        <f>SUM(I10:I12)</f>
        <v>83302</v>
      </c>
      <c r="J9" s="4"/>
      <c r="K9" s="4"/>
      <c r="L9" s="4">
        <f>SUM(L10:L12)</f>
        <v>89521</v>
      </c>
      <c r="M9" s="4"/>
      <c r="N9" s="4"/>
      <c r="O9" s="4">
        <f>SUM(O10:O12)</f>
        <v>55733</v>
      </c>
      <c r="P9" s="1"/>
    </row>
    <row r="10" spans="1:16" ht="13.5" customHeight="1" x14ac:dyDescent="0.3">
      <c r="A10" s="1"/>
      <c r="B10" s="1" t="s">
        <v>4</v>
      </c>
      <c r="C10" s="1"/>
      <c r="D10" s="1"/>
      <c r="E10" s="1"/>
      <c r="F10" s="8">
        <f>SUM(F15,F20,F25,F30,F35,F40,F51,F56,F61,F66,F71,F81,F93,F98,F103,F108,F113,F118,F123,F135,F140,F145,F150,F160,F165,F177,F182,F187,F192,F197,F202,F207,F219,F224,F234,F239,F249,F261,F266,F271,F276,F281,F286,F291,F303,F308,F318,F323,F328,F333,F345,F350,F370,F375,F387,F392,F402,F407,F412,F417,F429,F434,F444,F449,F454,F459,F471,F476,F481,F486,F491,F365,F360,F496,F501,F513,F518,F523,F528,F533,F538,F543,F555,F560,F565,F570,F575,F585,F597,F602,F607)</f>
        <v>33427</v>
      </c>
      <c r="G10" s="8"/>
      <c r="H10" s="8"/>
      <c r="I10" s="8">
        <f>SUM(I15,I20,I25,I30,I35,I40,I51,I56,I61,I66,I71,I81,I93,I98,I103,I108,I113,I118,I123,I135,I140,I145,I150,I160,I165,I177,I182,I187,I192,I197,I202,I207,I219,I224,I234,I239,I249,I261,I266,I271,I276,I281,I286,I291,I303,I308,I318,I323,I328,I333,I345,I350,I370,I375,I387,I392,I402,I407,I412,I417,I429,I434,I444,I449,I454,I459,I471,I476,I481,I486,I491,I365,I360,I496,I501,I513,I518,I523,I528,I533,I538,I543,I555,I560,I565,I570,I575,I585,I597,I602,I607)</f>
        <v>43797</v>
      </c>
      <c r="J10" s="8"/>
      <c r="K10" s="8"/>
      <c r="L10" s="8">
        <f>SUM(L15,L20,L25,L30,L35,L40,L51,L56,L61,L66,L71,L81,L93,L98,L103,L108,L113,L118,L123,L135,L140,L145,L150,L160,L165,L177,L182,L187,L192,L197,L202,L207,L219,L224,L234,L239,L249,L261,L266,L271,L276,L281,L286,L291,L303,L308,L318,L323,L328,L333,L345,L350,L370,L375,L387,L392,L402,L407,L412,L417,L429,L434,L444,L449,L454,L459,L471,L476,L481,L486,L491,L365,L360,L496,L501,L513,L518,L523,L528,L533,L538,L543,L555,L560,L565,L570,L575,L585,L597,L602,L607)</f>
        <v>45561</v>
      </c>
      <c r="M10" s="8"/>
      <c r="N10" s="8"/>
      <c r="O10" s="8">
        <f>SUM(O15,O20,O25,O30,O35,O40,O51,O56,O61,O66,O71,O81,O93,O98,O103,O108,O113,O118,O123,O135,O140,O145,O150,O160,O165,O177,O182,O187,O192,O197,O202,O207,O219,O224,O234,O239,O249,O261,O266,O271,O276,O281,O286,O291,O303,O308,O318,O323,O328,O333,O345,O350,O370,O375,O387,O392,O402,O407,O412,O417,O429,O434,O444,O449,O454,O459,O471,O476,O481,O486,O491,O365,O360,O496,O501,O513,O518,O523,O528,O533,O538,O543,O555,O560,O565,O570,O575,O585,O597,O602,O607)</f>
        <v>31663</v>
      </c>
      <c r="P10" s="1"/>
    </row>
    <row r="11" spans="1:16" ht="13.5" customHeight="1" x14ac:dyDescent="0.3">
      <c r="A11" s="1"/>
      <c r="B11" s="1" t="s">
        <v>3</v>
      </c>
      <c r="C11" s="1"/>
      <c r="D11" s="1"/>
      <c r="E11" s="1"/>
      <c r="F11" s="8">
        <f>SUM(F16,F21,F26,F31,F36,F41,F52,F57,F62,F67,F72,F82,F94,F99,F104,F109,F114,F119,F124,F136,F141,F146,F151,F161,F166,F178,F183,F188,F193,F198,F203,F208,F220,F225,F235,F240,F250,F262,F267,F272,F277,F282,F287,F292,F304,F309,F319,F324,F329,F334,F346,F351,F371,F376,F388,F393,F403,F408,F413,F418,F430,F435,F445,F450,F455,F460,F472,F477,F482,F487,F492,F366,F361,F497,F502,F514,F519,F524,F529,F534,F539,F544,F556,F561,F566,F571,F576,F586,F598,F603,F608)</f>
        <v>6469</v>
      </c>
      <c r="G11" s="8"/>
      <c r="H11" s="8"/>
      <c r="I11" s="8">
        <f>SUM(I16,I21,I26,I31,I36,I41,I52,I57,I62,I67,I72,I82,I94,I99,I104,I109,I114,I119,I124,I136,I141,I146,I151,I161,I166,I178,I183,I188,I193,I198,I203,I208,I220,I225,I235,I240,I250,I262,I267,I272,I277,I282,I287,I292,I304,I309,I319,I324,I329,I334,I346,I351,I371,I376,I388,I393,I403,I408,I413,I418,I430,I435,I445,I450,I455,I460,I472,I477,I482,I487,I492,I366,I361,I497,I502,I514,I519,I524,I529,I534,I539,I544,I556,I561,I566,I571,I576,I586,I598,I603,I608)</f>
        <v>5303</v>
      </c>
      <c r="J11" s="8"/>
      <c r="K11" s="8"/>
      <c r="L11" s="8">
        <f>SUM(L16,L21,L26,L31,L36,L41,L52,L57,L62,L67,L72,L82,L94,L99,L104,L109,L114,L119,L124,L136,L141,L146,L151,L161,L166,L178,L183,L188,L193,L198,L203,L208,L220,L225,L235,L240,L250,L262,L267,L272,L277,L282,L287,L292,L304,L309,L319,L324,L329,L334,L346,L351,L371,L376,L388,L393,L403,L408,L413,L418,L430,L435,L445,L450,L455,L460,L472,L477,L482,L487,L492,L366,L361,L497,L502,L514,L519,L524,L529,L534,L539,L544,L556,L561,L566,L571,L576,L586,L598,L603,L608)</f>
        <v>6454</v>
      </c>
      <c r="M11" s="8"/>
      <c r="N11" s="8"/>
      <c r="O11" s="8">
        <f>SUM(O16,O21,O26,O31,O36,O41,O52,O57,O62,O67,O72,O82,O94,O99,O104,O109,O114,O119,O124,O136,O141,O146,O151,O161,O166,O178,O183,O188,O193,O198,O203,O208,O220,O225,O235,O240,O250,O262,O267,O272,O277,O282,O287,O292,O304,O309,O319,O324,O329,O334,O346,O351,O371,O376,O388,O393,O403,O408,O413,O418,O430,O435,O445,O450,O455,O460,O472,O477,O482,O487,O492,O366,O361,O497,O502,O514,O519,O524,O529,O534,O539,O544,O556,O561,O566,O571,O576,O586,O598,O603,O608)</f>
        <v>5320</v>
      </c>
      <c r="P11" s="1"/>
    </row>
    <row r="12" spans="1:16" ht="13.5" customHeight="1" x14ac:dyDescent="0.3">
      <c r="A12" s="1"/>
      <c r="B12" s="1" t="s">
        <v>2</v>
      </c>
      <c r="C12" s="1"/>
      <c r="D12" s="1"/>
      <c r="E12" s="1"/>
      <c r="F12" s="8">
        <f>SUM(F17,F22,F27,F32,F37,F42,F53,F58,F63,F68,F73,F83,F95,F100,F105,F110,F115,F120,F125,F137,F142,F147,F152,F162,F167,F179,F184,F189,F194,F199,F204,F209,F221,F226,F236,F241,F251,F263,F268,F273,F278,F283,F288,F293,F305,F310,F320,F325,F330,F335,F347,F352,F372,F377,F389,F394,F404,F409,F414,F419,F431,F436,F446,F451,F456,F461,F473,F478,F483,F488,F493,F367,F362,F498,F503,F515,F520,F525,F530,F535,F540,F545,F557,F562,F567,F572,F577,F587,F599,F604,F609)</f>
        <v>22053</v>
      </c>
      <c r="G12" s="8"/>
      <c r="H12" s="8"/>
      <c r="I12" s="8">
        <f>SUM(I17,I22,I27,I32,I37,I42,I53,I58,I63,I68,I73,I83,I95,I100,I105,I110,I115,I120,I125,I137,I142,I147,I152,I162,I167,I179,I184,I189,I194,I199,I204,I209,I221,I226,I236,I241,I251,I263,I268,I273,I278,I283,I288,I293,I305,I310,I320,I325,I330,I335,I347,I352,I372,I377,I389,I394,I404,I409,I414,I419,I431,I436,I446,I451,I456,I461,I473,I478,I483,I488,I493,I367,I362,I498,I503,I515,I520,I525,I530,I535,I540,I545,I557,I562,I567,I572,I577,I587,I599,I604,I609)</f>
        <v>34202</v>
      </c>
      <c r="J12" s="8"/>
      <c r="K12" s="8"/>
      <c r="L12" s="8">
        <f>SUM(L17,L22,L27,L32,L37,L42,L53,L58,L63,L68,L73,L83,L95,L100,L105,L110,L115,L120,L125,L137,L142,L147,L152,L162,L167,L179,L184,L189,L194,L199,L204,L209,L221,L226,L236,L241,L251,L263,L268,L273,L278,L283,L288,L293,L305,L310,L320,L325,L330,L335,L347,L352,L372,L377,L389,L394,L404,L409,L414,L419,L431,L436,L446,L451,L456,L461,L473,L478,L483,L488,L493,L367,L362,L498,L503,L515,L520,L525,L530,L535,L540,L545,L557,L562,L567,L572,L577,L587,L599,L604,L609)</f>
        <v>37506</v>
      </c>
      <c r="M12" s="8"/>
      <c r="N12" s="8"/>
      <c r="O12" s="8">
        <f>SUM(O17,O22,O27,O32,O37,O42,O53,O58,O63,O68,O73,O83,O95,O100,O105,O110,O115,O120,O125,O137,O142,O147,O152,O162,O167,O179,O184,O189,O194,O199,O204,O209,O221,O226,O236,O241,O251,O263,O268,O273,O278,O283,O288,O293,O305,O310,O320,O325,O330,O335,O347,O352,O372,O377,O389,O394,O404,O409,O414,O419,O431,O436,O446,O451,O456,O461,O473,O478,O483,O488,O493,O367,O362,O498,O503,O515,O520,O525,O530,O535,O540,O545,O557,O562,O567,O572,O577,O587,O599,O604,O609)</f>
        <v>18750</v>
      </c>
      <c r="P12" s="1"/>
    </row>
    <row r="13" spans="1:16" ht="12" customHeight="1" x14ac:dyDescent="0.3">
      <c r="A13" s="1"/>
      <c r="B13" s="1"/>
      <c r="C13" s="1"/>
      <c r="D13" s="1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13.5" customHeight="1" x14ac:dyDescent="0.3">
      <c r="A14" s="1"/>
      <c r="B14" s="1"/>
      <c r="C14" s="5" t="str">
        <f>IF(VLOOKUP("AK",'[1]Raw Data'!$B$2:$O$102,2,FALSE)="CDO","AK"&amp;" "&amp;CHAR(178),"AK")</f>
        <v>AK</v>
      </c>
      <c r="D14" s="1"/>
      <c r="F14" s="4">
        <f>SUM(F15:F17)</f>
        <v>318</v>
      </c>
      <c r="G14" s="4"/>
      <c r="H14" s="4"/>
      <c r="I14" s="4">
        <f>SUM(I15:I17)</f>
        <v>268</v>
      </c>
      <c r="J14" s="4"/>
      <c r="K14" s="4"/>
      <c r="L14" s="4">
        <f>SUM(L15:L17)</f>
        <v>337</v>
      </c>
      <c r="M14" s="4"/>
      <c r="N14" s="4"/>
      <c r="O14" s="4">
        <f>SUM(O15:O17)</f>
        <v>248</v>
      </c>
    </row>
    <row r="15" spans="1:16" ht="13.5" customHeight="1" x14ac:dyDescent="0.3">
      <c r="A15" s="1"/>
      <c r="B15" s="1" t="s">
        <v>4</v>
      </c>
      <c r="C15" s="1"/>
      <c r="D15" s="1"/>
      <c r="E15" s="1"/>
      <c r="F15" s="3">
        <f>VLOOKUP("AK",'[1]Raw Data'!$B$2:$O$102,3,FALSE)</f>
        <v>118</v>
      </c>
      <c r="G15" s="3"/>
      <c r="H15" s="3"/>
      <c r="I15" s="3">
        <f>VLOOKUP("AK",'[1]Raw Data'!$B$2:$O$102,4,FALSE)</f>
        <v>95</v>
      </c>
      <c r="J15" s="3"/>
      <c r="K15" s="3"/>
      <c r="L15" s="3">
        <f>VLOOKUP("AK",'[1]Raw Data'!$B$2:$O$102,5,FALSE)</f>
        <v>101</v>
      </c>
      <c r="M15" s="3"/>
      <c r="N15" s="3"/>
      <c r="O15" s="3">
        <f>VLOOKUP("AK",'[1]Raw Data'!$B$2:$O$102,6,FALSE)</f>
        <v>111</v>
      </c>
    </row>
    <row r="16" spans="1:16" ht="13.5" customHeight="1" x14ac:dyDescent="0.3">
      <c r="A16" s="1"/>
      <c r="B16" s="1" t="s">
        <v>3</v>
      </c>
      <c r="C16" s="1"/>
      <c r="D16" s="1"/>
      <c r="E16" s="1"/>
      <c r="F16" s="3">
        <f>VLOOKUP("AK",'[1]Raw Data'!$B$2:$O$102,7,FALSE)</f>
        <v>17</v>
      </c>
      <c r="G16" s="3"/>
      <c r="H16" s="3"/>
      <c r="I16" s="3">
        <f>VLOOKUP("AK",'[1]Raw Data'!$B$2:$O$102,8,FALSE)</f>
        <v>19</v>
      </c>
      <c r="J16" s="3"/>
      <c r="K16" s="3"/>
      <c r="L16" s="3">
        <f>VLOOKUP("AK",'[1]Raw Data'!$B$2:$O$102,9,FALSE)</f>
        <v>25</v>
      </c>
      <c r="M16" s="3"/>
      <c r="N16" s="3"/>
      <c r="O16" s="3">
        <f>VLOOKUP("AK",'[1]Raw Data'!$B$2:$O$102,10,FALSE)</f>
        <v>11</v>
      </c>
    </row>
    <row r="17" spans="1:15" ht="13.5" customHeight="1" x14ac:dyDescent="0.3">
      <c r="A17" s="1"/>
      <c r="B17" s="1" t="s">
        <v>2</v>
      </c>
      <c r="C17" s="1"/>
      <c r="D17" s="1"/>
      <c r="E17" s="1"/>
      <c r="F17" s="3">
        <f>VLOOKUP("AK",'[1]Raw Data'!$B$2:$O$102,11,FALSE)</f>
        <v>183</v>
      </c>
      <c r="G17" s="3"/>
      <c r="H17" s="3"/>
      <c r="I17" s="3">
        <f>VLOOKUP("AK",'[1]Raw Data'!$B$2:$O$102,12,FALSE)</f>
        <v>154</v>
      </c>
      <c r="J17" s="3"/>
      <c r="K17" s="3"/>
      <c r="L17" s="3">
        <f>VLOOKUP("AK",'[1]Raw Data'!$B$2:$O$102,13,FALSE)</f>
        <v>211</v>
      </c>
      <c r="M17" s="3"/>
      <c r="N17" s="3"/>
      <c r="O17" s="3">
        <f>VLOOKUP("AK",'[1]Raw Data'!$B$2:$O$102,14,FALSE)</f>
        <v>126</v>
      </c>
    </row>
    <row r="18" spans="1:15" ht="12" customHeight="1" x14ac:dyDescent="0.3">
      <c r="A18" s="1"/>
      <c r="B18" s="1"/>
      <c r="C18" s="1"/>
      <c r="D18" s="1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3.5" customHeight="1" x14ac:dyDescent="0.3">
      <c r="A19" s="1"/>
      <c r="B19" s="1"/>
      <c r="C19" s="5" t="str">
        <f>IF(VLOOKUP("AL, M",'[1]Raw Data'!$B$2:$O$102,2,FALSE)="CDO","AL, M"&amp;" "&amp;CHAR(178),"AL, M")</f>
        <v>AL, M ²</v>
      </c>
      <c r="D19" s="1"/>
      <c r="F19" s="4">
        <f>SUM(F20:F22)</f>
        <v>165</v>
      </c>
      <c r="G19" s="4"/>
      <c r="H19" s="4"/>
      <c r="I19" s="4">
        <f>SUM(I20:I22)</f>
        <v>227</v>
      </c>
      <c r="J19" s="4"/>
      <c r="K19" s="4"/>
      <c r="L19" s="4">
        <f>SUM(L20:L22)</f>
        <v>201</v>
      </c>
      <c r="M19" s="4"/>
      <c r="N19" s="4"/>
      <c r="O19" s="4">
        <f>SUM(O20:O22)</f>
        <v>191</v>
      </c>
    </row>
    <row r="20" spans="1:15" ht="13.5" customHeight="1" x14ac:dyDescent="0.3">
      <c r="A20" s="1"/>
      <c r="B20" s="1" t="s">
        <v>4</v>
      </c>
      <c r="C20" s="1"/>
      <c r="D20" s="1"/>
      <c r="E20" s="1"/>
      <c r="F20" s="3">
        <f>VLOOKUP("AL, M",'[1]Raw Data'!$B$2:$O$102,3,FALSE)</f>
        <v>77</v>
      </c>
      <c r="G20" s="3"/>
      <c r="H20" s="3"/>
      <c r="I20" s="3">
        <f>VLOOKUP("AL, M",'[1]Raw Data'!$B$2:$O$102,4,FALSE)</f>
        <v>155</v>
      </c>
      <c r="J20" s="3"/>
      <c r="K20" s="3"/>
      <c r="L20" s="3">
        <f>VLOOKUP("AL, M",'[1]Raw Data'!$B$2:$O$102,5,FALSE)</f>
        <v>102</v>
      </c>
      <c r="M20" s="3"/>
      <c r="N20" s="3"/>
      <c r="O20" s="3">
        <f>VLOOKUP("AL, M",'[1]Raw Data'!$B$2:$O$102,6,FALSE)</f>
        <v>130</v>
      </c>
    </row>
    <row r="21" spans="1:15" ht="13.5" customHeight="1" x14ac:dyDescent="0.3">
      <c r="A21" s="1"/>
      <c r="B21" s="1" t="s">
        <v>3</v>
      </c>
      <c r="C21" s="1"/>
      <c r="D21" s="1"/>
      <c r="E21" s="1"/>
      <c r="F21" s="3">
        <f>VLOOKUP("AL, M",'[1]Raw Data'!$B$2:$O$102,7,FALSE)</f>
        <v>10</v>
      </c>
      <c r="G21" s="3"/>
      <c r="H21" s="3"/>
      <c r="I21" s="3">
        <f>VLOOKUP("AL, M",'[1]Raw Data'!$B$2:$O$102,8,FALSE)</f>
        <v>7</v>
      </c>
      <c r="J21" s="3"/>
      <c r="K21" s="3"/>
      <c r="L21" s="3">
        <f>VLOOKUP("AL, M",'[1]Raw Data'!$B$2:$O$102,9,FALSE)</f>
        <v>13</v>
      </c>
      <c r="M21" s="3"/>
      <c r="N21" s="3"/>
      <c r="O21" s="3">
        <f>VLOOKUP("AL, M",'[1]Raw Data'!$B$2:$O$102,10,FALSE)</f>
        <v>4</v>
      </c>
    </row>
    <row r="22" spans="1:15" ht="13.5" customHeight="1" x14ac:dyDescent="0.3">
      <c r="A22" s="1"/>
      <c r="B22" s="1" t="s">
        <v>2</v>
      </c>
      <c r="C22" s="1"/>
      <c r="D22" s="1"/>
      <c r="E22" s="1"/>
      <c r="F22" s="3">
        <f>VLOOKUP("AL, M",'[1]Raw Data'!$B$2:$O$102,11,FALSE)</f>
        <v>78</v>
      </c>
      <c r="G22" s="3"/>
      <c r="H22" s="3"/>
      <c r="I22" s="3">
        <f>VLOOKUP("AL, M",'[1]Raw Data'!$B$2:$O$102,12,FALSE)</f>
        <v>65</v>
      </c>
      <c r="J22" s="3"/>
      <c r="K22" s="3"/>
      <c r="L22" s="3">
        <f>VLOOKUP("AL, M",'[1]Raw Data'!$B$2:$O$102,13,FALSE)</f>
        <v>86</v>
      </c>
      <c r="M22" s="3"/>
      <c r="N22" s="3"/>
      <c r="O22" s="3">
        <f>VLOOKUP("AL, M",'[1]Raw Data'!$B$2:$O$102,14,FALSE)</f>
        <v>57</v>
      </c>
    </row>
    <row r="23" spans="1:15" ht="12" customHeight="1" x14ac:dyDescent="0.3">
      <c r="A23" s="1"/>
      <c r="B23" s="1"/>
      <c r="C23" s="1"/>
      <c r="D23" s="1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3.5" customHeight="1" x14ac:dyDescent="0.3">
      <c r="A24" s="1"/>
      <c r="B24" s="1"/>
      <c r="C24" s="5" t="str">
        <f>IF(VLOOKUP("AL, N",'[1]Raw Data'!$B$2:$O$102,2,FALSE)="CDO","AL, N"&amp;" "&amp;CHAR(178),"AL, N")</f>
        <v>AL, N</v>
      </c>
      <c r="D24" s="1"/>
      <c r="F24" s="4">
        <f>SUM(F25:F27)</f>
        <v>305</v>
      </c>
      <c r="G24" s="4"/>
      <c r="H24" s="4"/>
      <c r="I24" s="4">
        <f>SUM(I25:I27)</f>
        <v>585</v>
      </c>
      <c r="J24" s="4"/>
      <c r="K24" s="4"/>
      <c r="L24" s="4">
        <f>SUM(L25:L27)</f>
        <v>592</v>
      </c>
      <c r="M24" s="4"/>
      <c r="N24" s="4"/>
      <c r="O24" s="4">
        <f>SUM(O25:O27)</f>
        <v>298</v>
      </c>
    </row>
    <row r="25" spans="1:15" ht="13.5" customHeight="1" x14ac:dyDescent="0.3">
      <c r="A25" s="1"/>
      <c r="B25" s="1" t="s">
        <v>4</v>
      </c>
      <c r="C25" s="1"/>
      <c r="D25" s="1"/>
      <c r="E25" s="1"/>
      <c r="F25" s="3">
        <f>VLOOKUP("AL, N",'[1]Raw Data'!$B$2:$O$102,3,FALSE)</f>
        <v>181</v>
      </c>
      <c r="G25" s="3"/>
      <c r="H25" s="3"/>
      <c r="I25" s="3">
        <f>VLOOKUP("AL, N",'[1]Raw Data'!$B$2:$O$102,4,FALSE)</f>
        <v>331</v>
      </c>
      <c r="J25" s="3"/>
      <c r="K25" s="3"/>
      <c r="L25" s="3">
        <f>VLOOKUP("AL, N",'[1]Raw Data'!$B$2:$O$102,5,FALSE)</f>
        <v>302</v>
      </c>
      <c r="M25" s="3"/>
      <c r="N25" s="3"/>
      <c r="O25" s="3">
        <f>VLOOKUP("AL, N",'[1]Raw Data'!$B$2:$O$102,6,FALSE)</f>
        <v>210</v>
      </c>
    </row>
    <row r="26" spans="1:15" ht="13.5" customHeight="1" x14ac:dyDescent="0.3">
      <c r="A26" s="1"/>
      <c r="B26" s="1" t="s">
        <v>3</v>
      </c>
      <c r="C26" s="1"/>
      <c r="D26" s="1"/>
      <c r="E26" s="1"/>
      <c r="F26" s="3">
        <f>VLOOKUP("AL, N",'[1]Raw Data'!$B$2:$O$102,7,FALSE)</f>
        <v>24</v>
      </c>
      <c r="G26" s="3"/>
      <c r="H26" s="3"/>
      <c r="I26" s="3">
        <f>VLOOKUP("AL, N",'[1]Raw Data'!$B$2:$O$102,8,FALSE)</f>
        <v>29</v>
      </c>
      <c r="J26" s="3"/>
      <c r="K26" s="3"/>
      <c r="L26" s="3">
        <f>VLOOKUP("AL, N",'[1]Raw Data'!$B$2:$O$102,9,FALSE)</f>
        <v>34</v>
      </c>
      <c r="M26" s="3"/>
      <c r="N26" s="3"/>
      <c r="O26" s="3">
        <f>VLOOKUP("AL, N",'[1]Raw Data'!$B$2:$O$102,10,FALSE)</f>
        <v>19</v>
      </c>
    </row>
    <row r="27" spans="1:15" ht="13.5" customHeight="1" x14ac:dyDescent="0.3">
      <c r="A27" s="1"/>
      <c r="B27" s="1" t="s">
        <v>2</v>
      </c>
      <c r="C27" s="1"/>
      <c r="D27" s="1"/>
      <c r="E27" s="1"/>
      <c r="F27" s="3">
        <f>VLOOKUP("AL, N",'[1]Raw Data'!$B$2:$O$102,11,FALSE)</f>
        <v>100</v>
      </c>
      <c r="G27" s="3"/>
      <c r="H27" s="3"/>
      <c r="I27" s="3">
        <f>VLOOKUP("AL, N",'[1]Raw Data'!$B$2:$O$102,12,FALSE)</f>
        <v>225</v>
      </c>
      <c r="J27" s="3"/>
      <c r="K27" s="3"/>
      <c r="L27" s="3">
        <f>VLOOKUP("AL, N",'[1]Raw Data'!$B$2:$O$102,13,FALSE)</f>
        <v>256</v>
      </c>
      <c r="M27" s="3"/>
      <c r="N27" s="3"/>
      <c r="O27" s="3">
        <f>VLOOKUP("AL, N",'[1]Raw Data'!$B$2:$O$102,14,FALSE)</f>
        <v>69</v>
      </c>
    </row>
    <row r="28" spans="1:15" ht="12" customHeight="1" x14ac:dyDescent="0.3">
      <c r="A28" s="1"/>
      <c r="B28" s="1"/>
      <c r="C28" s="1"/>
      <c r="D28" s="1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3.5" customHeight="1" x14ac:dyDescent="0.3">
      <c r="A29" s="1"/>
      <c r="B29" s="1"/>
      <c r="C29" s="5" t="str">
        <f>IF(VLOOKUP("AL, S",'[1]Raw Data'!$B$2:$O$102,2,FALSE)="CDO","AL, S"&amp;" "&amp;CHAR(178),"AL, S")</f>
        <v>AL, S ²</v>
      </c>
      <c r="D29" s="1"/>
      <c r="F29" s="4">
        <f>SUM(F30:F32)</f>
        <v>104</v>
      </c>
      <c r="G29" s="4"/>
      <c r="H29" s="4"/>
      <c r="I29" s="4">
        <f>SUM(I30:I32)</f>
        <v>312</v>
      </c>
      <c r="J29" s="4"/>
      <c r="K29" s="4"/>
      <c r="L29" s="4">
        <f>SUM(L30:L32)</f>
        <v>309</v>
      </c>
      <c r="M29" s="4"/>
      <c r="N29" s="4"/>
      <c r="O29" s="4">
        <f>SUM(O30:O32)</f>
        <v>107</v>
      </c>
    </row>
    <row r="30" spans="1:15" ht="13.5" customHeight="1" x14ac:dyDescent="0.3">
      <c r="A30" s="1"/>
      <c r="B30" s="1" t="s">
        <v>4</v>
      </c>
      <c r="C30" s="1"/>
      <c r="D30" s="1"/>
      <c r="E30" s="1"/>
      <c r="F30" s="3">
        <f>VLOOKUP("AL, S",'[1]Raw Data'!$B$2:$O$102,3,FALSE)</f>
        <v>58</v>
      </c>
      <c r="G30" s="3"/>
      <c r="H30" s="3"/>
      <c r="I30" s="3">
        <f>VLOOKUP("AL, S",'[1]Raw Data'!$B$2:$O$102,4,FALSE)</f>
        <v>133</v>
      </c>
      <c r="J30" s="3"/>
      <c r="K30" s="3"/>
      <c r="L30" s="3">
        <f>VLOOKUP("AL, S",'[1]Raw Data'!$B$2:$O$102,5,FALSE)</f>
        <v>135</v>
      </c>
      <c r="M30" s="3"/>
      <c r="N30" s="3"/>
      <c r="O30" s="3">
        <f>VLOOKUP("AL, S",'[1]Raw Data'!$B$2:$O$102,6,FALSE)</f>
        <v>56</v>
      </c>
    </row>
    <row r="31" spans="1:15" ht="13.5" customHeight="1" x14ac:dyDescent="0.3">
      <c r="A31" s="1"/>
      <c r="B31" s="1" t="s">
        <v>3</v>
      </c>
      <c r="C31" s="1"/>
      <c r="D31" s="1"/>
      <c r="E31" s="1"/>
      <c r="F31" s="3">
        <f>VLOOKUP("AL, S",'[1]Raw Data'!$B$2:$O$102,7,FALSE)</f>
        <v>10</v>
      </c>
      <c r="G31" s="3"/>
      <c r="H31" s="3"/>
      <c r="I31" s="3">
        <f>VLOOKUP("AL, S",'[1]Raw Data'!$B$2:$O$102,8,FALSE)</f>
        <v>25</v>
      </c>
      <c r="J31" s="3"/>
      <c r="K31" s="3"/>
      <c r="L31" s="3">
        <f>VLOOKUP("AL, S",'[1]Raw Data'!$B$2:$O$102,9,FALSE)</f>
        <v>23</v>
      </c>
      <c r="M31" s="3"/>
      <c r="N31" s="3"/>
      <c r="O31" s="3">
        <f>VLOOKUP("AL, S",'[1]Raw Data'!$B$2:$O$102,10,FALSE)</f>
        <v>12</v>
      </c>
    </row>
    <row r="32" spans="1:15" ht="13.5" customHeight="1" x14ac:dyDescent="0.3">
      <c r="A32" s="1"/>
      <c r="B32" s="1" t="s">
        <v>2</v>
      </c>
      <c r="C32" s="1"/>
      <c r="D32" s="1"/>
      <c r="E32" s="1"/>
      <c r="F32" s="3">
        <f>VLOOKUP("AL, S",'[1]Raw Data'!$B$2:$O$102,11,FALSE)</f>
        <v>36</v>
      </c>
      <c r="G32" s="3"/>
      <c r="H32" s="3"/>
      <c r="I32" s="3">
        <f>VLOOKUP("AL, S",'[1]Raw Data'!$B$2:$O$102,12,FALSE)</f>
        <v>154</v>
      </c>
      <c r="J32" s="3"/>
      <c r="K32" s="3"/>
      <c r="L32" s="3">
        <f>VLOOKUP("AL, S",'[1]Raw Data'!$B$2:$O$102,13,FALSE)</f>
        <v>151</v>
      </c>
      <c r="M32" s="3"/>
      <c r="N32" s="3"/>
      <c r="O32" s="3">
        <f>VLOOKUP("AL, S",'[1]Raw Data'!$B$2:$O$102,14,FALSE)</f>
        <v>39</v>
      </c>
    </row>
    <row r="33" spans="1:16" ht="12" customHeight="1" x14ac:dyDescent="0.3"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6" ht="13.5" customHeight="1" x14ac:dyDescent="0.3">
      <c r="A34" s="1"/>
      <c r="B34" s="1"/>
      <c r="C34" s="5" t="str">
        <f>IF(VLOOKUP("AR, E",'[1]Raw Data'!$B$2:$O$102,2,FALSE)="CDO","AR, E"&amp;" "&amp;CHAR(178),"AR, E")</f>
        <v>AR, E</v>
      </c>
      <c r="D34" s="1"/>
      <c r="F34" s="4">
        <f>SUM(F35:F37)</f>
        <v>536</v>
      </c>
      <c r="G34" s="4"/>
      <c r="H34" s="4"/>
      <c r="I34" s="4">
        <f>SUM(I35:I37)</f>
        <v>309</v>
      </c>
      <c r="J34" s="4"/>
      <c r="K34" s="4"/>
      <c r="L34" s="4">
        <f>SUM(L35:L37)</f>
        <v>432</v>
      </c>
      <c r="M34" s="4"/>
      <c r="N34" s="4"/>
      <c r="O34" s="4">
        <f>SUM(O35:O37)</f>
        <v>413</v>
      </c>
    </row>
    <row r="35" spans="1:16" ht="13.5" customHeight="1" x14ac:dyDescent="0.3">
      <c r="A35" s="1"/>
      <c r="B35" s="1" t="s">
        <v>4</v>
      </c>
      <c r="C35" s="1"/>
      <c r="D35" s="1"/>
      <c r="E35" s="1"/>
      <c r="F35" s="3">
        <f>VLOOKUP("AR, E",'[1]Raw Data'!$B$2:$O$102,3,FALSE)</f>
        <v>433</v>
      </c>
      <c r="G35" s="3"/>
      <c r="H35" s="3"/>
      <c r="I35" s="3">
        <f>VLOOKUP("AR, E",'[1]Raw Data'!$B$2:$O$102,4,FALSE)</f>
        <v>194</v>
      </c>
      <c r="J35" s="3"/>
      <c r="K35" s="3"/>
      <c r="L35" s="3">
        <f>VLOOKUP("AR, E",'[1]Raw Data'!$B$2:$O$102,5,FALSE)</f>
        <v>313</v>
      </c>
      <c r="M35" s="3"/>
      <c r="N35" s="3"/>
      <c r="O35" s="3">
        <f>VLOOKUP("AR, E",'[1]Raw Data'!$B$2:$O$102,6,FALSE)</f>
        <v>314</v>
      </c>
    </row>
    <row r="36" spans="1:16" ht="13.5" customHeight="1" x14ac:dyDescent="0.3">
      <c r="A36" s="1"/>
      <c r="B36" s="1" t="s">
        <v>3</v>
      </c>
      <c r="C36" s="1"/>
      <c r="D36" s="1"/>
      <c r="E36" s="1"/>
      <c r="F36" s="3">
        <f>VLOOKUP("AR, E",'[1]Raw Data'!$B$2:$O$102,7,FALSE)</f>
        <v>26</v>
      </c>
      <c r="G36" s="3"/>
      <c r="H36" s="3"/>
      <c r="I36" s="3">
        <f>VLOOKUP("AR, E",'[1]Raw Data'!$B$2:$O$102,8,FALSE)</f>
        <v>21</v>
      </c>
      <c r="J36" s="3"/>
      <c r="K36" s="3"/>
      <c r="L36" s="3">
        <f>VLOOKUP("AR, E",'[1]Raw Data'!$B$2:$O$102,9,FALSE)</f>
        <v>38</v>
      </c>
      <c r="M36" s="3"/>
      <c r="N36" s="3"/>
      <c r="O36" s="3">
        <f>VLOOKUP("AR, E",'[1]Raw Data'!$B$2:$O$102,10,FALSE)</f>
        <v>9</v>
      </c>
    </row>
    <row r="37" spans="1:16" ht="13.5" customHeight="1" x14ac:dyDescent="0.3">
      <c r="A37" s="1"/>
      <c r="B37" s="1" t="s">
        <v>2</v>
      </c>
      <c r="C37" s="1"/>
      <c r="D37" s="1"/>
      <c r="E37" s="1"/>
      <c r="F37" s="3">
        <f>VLOOKUP("AR, E",'[1]Raw Data'!$B$2:$O$102,11,FALSE)</f>
        <v>77</v>
      </c>
      <c r="G37" s="3"/>
      <c r="H37" s="3"/>
      <c r="I37" s="3">
        <f>VLOOKUP("AR, E",'[1]Raw Data'!$B$2:$O$102,12,FALSE)</f>
        <v>94</v>
      </c>
      <c r="J37" s="3"/>
      <c r="K37" s="3"/>
      <c r="L37" s="3">
        <f>VLOOKUP("AR, E",'[1]Raw Data'!$B$2:$O$102,13,FALSE)</f>
        <v>81</v>
      </c>
      <c r="M37" s="3"/>
      <c r="N37" s="3"/>
      <c r="O37" s="3">
        <f>VLOOKUP("AR, E",'[1]Raw Data'!$B$2:$O$102,14,FALSE)</f>
        <v>90</v>
      </c>
    </row>
    <row r="38" spans="1:16" ht="12" customHeight="1" x14ac:dyDescent="0.3"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6" ht="13.5" customHeight="1" x14ac:dyDescent="0.3">
      <c r="A39" s="1"/>
      <c r="B39" s="1"/>
      <c r="C39" s="5" t="str">
        <f>IF(VLOOKUP("AR, W",'[1]Raw Data'!$B$2:$O$102,2,FALSE)="CDO","AR, W"&amp;" "&amp;CHAR(178),"AR, W")</f>
        <v>AR, W</v>
      </c>
      <c r="D39" s="1"/>
      <c r="F39" s="4">
        <f>SUM(F40:F42)</f>
        <v>216</v>
      </c>
      <c r="G39" s="4"/>
      <c r="H39" s="4"/>
      <c r="I39" s="4">
        <f>SUM(I40:I42)</f>
        <v>274</v>
      </c>
      <c r="J39" s="4"/>
      <c r="K39" s="4"/>
      <c r="L39" s="4">
        <f>SUM(L40:L42)</f>
        <v>311</v>
      </c>
      <c r="M39" s="4"/>
      <c r="N39" s="4"/>
      <c r="O39" s="4">
        <f>SUM(O40:O42)</f>
        <v>179</v>
      </c>
    </row>
    <row r="40" spans="1:16" ht="13.5" customHeight="1" x14ac:dyDescent="0.3">
      <c r="A40" s="1"/>
      <c r="B40" s="1" t="s">
        <v>4</v>
      </c>
      <c r="C40" s="1"/>
      <c r="D40" s="1"/>
      <c r="E40" s="1"/>
      <c r="F40" s="3">
        <f>VLOOKUP("AR, W",'[1]Raw Data'!$B$2:$O$102,3,FALSE)</f>
        <v>117</v>
      </c>
      <c r="G40" s="3"/>
      <c r="H40" s="3"/>
      <c r="I40" s="3">
        <f>VLOOKUP("AR, W",'[1]Raw Data'!$B$2:$O$102,4,FALSE)</f>
        <v>125</v>
      </c>
      <c r="J40" s="3"/>
      <c r="K40" s="3"/>
      <c r="L40" s="3">
        <f>VLOOKUP("AR, W",'[1]Raw Data'!$B$2:$O$102,5,FALSE)</f>
        <v>145</v>
      </c>
      <c r="M40" s="3"/>
      <c r="N40" s="3"/>
      <c r="O40" s="3">
        <f>VLOOKUP("AR, W",'[1]Raw Data'!$B$2:$O$102,6,FALSE)</f>
        <v>97</v>
      </c>
    </row>
    <row r="41" spans="1:16" ht="13.5" customHeight="1" x14ac:dyDescent="0.3">
      <c r="A41" s="1"/>
      <c r="B41" s="1" t="s">
        <v>3</v>
      </c>
      <c r="C41" s="1"/>
      <c r="D41" s="1"/>
      <c r="E41" s="1"/>
      <c r="F41" s="3">
        <f>VLOOKUP("AR, W",'[1]Raw Data'!$B$2:$O$102,7,FALSE)</f>
        <v>30</v>
      </c>
      <c r="G41" s="3"/>
      <c r="H41" s="3"/>
      <c r="I41" s="3">
        <f>VLOOKUP("AR, W",'[1]Raw Data'!$B$2:$O$102,8,FALSE)</f>
        <v>43</v>
      </c>
      <c r="J41" s="3"/>
      <c r="K41" s="3"/>
      <c r="L41" s="3">
        <f>VLOOKUP("AR, W",'[1]Raw Data'!$B$2:$O$102,9,FALSE)</f>
        <v>57</v>
      </c>
      <c r="M41" s="3"/>
      <c r="N41" s="3"/>
      <c r="O41" s="3">
        <f>VLOOKUP("AR, W",'[1]Raw Data'!$B$2:$O$102,10,FALSE)</f>
        <v>16</v>
      </c>
    </row>
    <row r="42" spans="1:16" ht="13.5" customHeight="1" x14ac:dyDescent="0.3">
      <c r="A42" s="1"/>
      <c r="B42" s="1" t="s">
        <v>2</v>
      </c>
      <c r="C42" s="1"/>
      <c r="D42" s="1"/>
      <c r="E42" s="1"/>
      <c r="F42" s="3">
        <f>VLOOKUP("AR, W",'[1]Raw Data'!$B$2:$O$102,11,FALSE)</f>
        <v>69</v>
      </c>
      <c r="G42" s="3"/>
      <c r="H42" s="3"/>
      <c r="I42" s="3">
        <f>VLOOKUP("AR, W",'[1]Raw Data'!$B$2:$O$102,12,FALSE)</f>
        <v>106</v>
      </c>
      <c r="J42" s="3"/>
      <c r="K42" s="3"/>
      <c r="L42" s="3">
        <f>VLOOKUP("AR, W",'[1]Raw Data'!$B$2:$O$102,13,FALSE)</f>
        <v>109</v>
      </c>
      <c r="M42" s="3"/>
      <c r="N42" s="3"/>
      <c r="O42" s="3">
        <f>VLOOKUP("AR, W",'[1]Raw Data'!$B$2:$O$102,14,FALSE)</f>
        <v>66</v>
      </c>
    </row>
    <row r="43" spans="1:16" ht="12" customHeight="1" x14ac:dyDescent="0.3"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6" ht="15" customHeight="1" x14ac:dyDescent="0.3">
      <c r="A44" s="7" t="str">
        <f>"Table K-1. (September 30, "&amp;'[1]Raw Data'!$A$2&amp;"—Continued)"</f>
        <v>Table K-1. (September 30, 2022—Continued)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6" ht="12" customHeight="1" x14ac:dyDescent="0.3"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6" ht="15" customHeight="1" x14ac:dyDescent="0.3">
      <c r="A46" s="11" t="s">
        <v>12</v>
      </c>
      <c r="B46" s="11"/>
      <c r="C46" s="11"/>
      <c r="D46" s="12"/>
      <c r="E46" s="10" t="s">
        <v>10</v>
      </c>
      <c r="F46" s="11"/>
      <c r="G46" s="12"/>
      <c r="H46" s="10" t="s">
        <v>11</v>
      </c>
      <c r="I46" s="11"/>
      <c r="J46" s="12"/>
      <c r="K46" s="10" t="s">
        <v>11</v>
      </c>
      <c r="L46" s="11"/>
      <c r="M46" s="12"/>
      <c r="N46" s="10" t="s">
        <v>10</v>
      </c>
      <c r="O46" s="11"/>
      <c r="P46" s="11"/>
    </row>
    <row r="47" spans="1:16" ht="13.5" customHeight="1" x14ac:dyDescent="0.3">
      <c r="A47" s="14" t="s">
        <v>9</v>
      </c>
      <c r="B47" s="14"/>
      <c r="C47" s="14"/>
      <c r="D47" s="15"/>
      <c r="E47" s="13" t="s">
        <v>8</v>
      </c>
      <c r="F47" s="14"/>
      <c r="G47" s="15"/>
      <c r="H47" s="13" t="s">
        <v>7</v>
      </c>
      <c r="I47" s="14"/>
      <c r="J47" s="15"/>
      <c r="K47" s="13" t="s">
        <v>6</v>
      </c>
      <c r="L47" s="14"/>
      <c r="M47" s="15"/>
      <c r="N47" s="13" t="s">
        <v>5</v>
      </c>
      <c r="O47" s="14"/>
      <c r="P47" s="14"/>
    </row>
    <row r="48" spans="1:16" ht="3.7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5" ht="13.5" customHeight="1" x14ac:dyDescent="0.3"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3.5" customHeight="1" x14ac:dyDescent="0.3">
      <c r="A50" s="1"/>
      <c r="B50" s="1"/>
      <c r="C50" s="5" t="str">
        <f>IF(VLOOKUP("AZ",'[1]Raw Data'!$B$2:$O$102,2,FALSE)="CDO","AZ"&amp;" "&amp;CHAR(178),"AZ")</f>
        <v>AZ</v>
      </c>
      <c r="D50" s="1"/>
      <c r="F50" s="4">
        <f>SUM(F51:F53)</f>
        <v>2121</v>
      </c>
      <c r="G50" s="4"/>
      <c r="H50" s="4"/>
      <c r="I50" s="4">
        <f>SUM(I51:I53)</f>
        <v>5713</v>
      </c>
      <c r="J50" s="4"/>
      <c r="K50" s="4"/>
      <c r="L50" s="4">
        <f>SUM(L51:L53)</f>
        <v>6115</v>
      </c>
      <c r="M50" s="4"/>
      <c r="N50" s="4"/>
      <c r="O50" s="4">
        <f>SUM(O51:O53)</f>
        <v>1719</v>
      </c>
    </row>
    <row r="51" spans="1:15" ht="13.5" customHeight="1" x14ac:dyDescent="0.3">
      <c r="A51" s="1"/>
      <c r="B51" s="1" t="s">
        <v>4</v>
      </c>
      <c r="C51" s="1"/>
      <c r="D51" s="1"/>
      <c r="E51" s="1"/>
      <c r="F51" s="3">
        <f>VLOOKUP("AZ",'[1]Raw Data'!$B$2:$O$102,3,FALSE)</f>
        <v>1572</v>
      </c>
      <c r="G51" s="3"/>
      <c r="H51" s="3"/>
      <c r="I51" s="3">
        <f>VLOOKUP("AZ",'[1]Raw Data'!$B$2:$O$102,4,FALSE)</f>
        <v>4755</v>
      </c>
      <c r="J51" s="3"/>
      <c r="K51" s="3"/>
      <c r="L51" s="3">
        <f>VLOOKUP("AZ",'[1]Raw Data'!$B$2:$O$102,5,FALSE)</f>
        <v>5013</v>
      </c>
      <c r="M51" s="3"/>
      <c r="N51" s="3"/>
      <c r="O51" s="3">
        <f>VLOOKUP("AZ",'[1]Raw Data'!$B$2:$O$102,6,FALSE)</f>
        <v>1315</v>
      </c>
    </row>
    <row r="52" spans="1:15" ht="13.5" customHeight="1" x14ac:dyDescent="0.3">
      <c r="A52" s="1"/>
      <c r="B52" s="1" t="s">
        <v>3</v>
      </c>
      <c r="C52" s="1"/>
      <c r="D52" s="1"/>
      <c r="E52" s="1"/>
      <c r="F52" s="3">
        <f>VLOOKUP("AZ",'[1]Raw Data'!$B$2:$O$102,7,FALSE)</f>
        <v>69</v>
      </c>
      <c r="G52" s="3"/>
      <c r="H52" s="3"/>
      <c r="I52" s="3">
        <f>VLOOKUP("AZ",'[1]Raw Data'!$B$2:$O$102,8,FALSE)</f>
        <v>63</v>
      </c>
      <c r="J52" s="3"/>
      <c r="K52" s="3"/>
      <c r="L52" s="3">
        <f>VLOOKUP("AZ",'[1]Raw Data'!$B$2:$O$102,9,FALSE)</f>
        <v>81</v>
      </c>
      <c r="M52" s="3"/>
      <c r="N52" s="3"/>
      <c r="O52" s="3">
        <f>VLOOKUP("AZ",'[1]Raw Data'!$B$2:$O$102,10,FALSE)</f>
        <v>51</v>
      </c>
    </row>
    <row r="53" spans="1:15" ht="13.5" customHeight="1" x14ac:dyDescent="0.3">
      <c r="A53" s="1"/>
      <c r="B53" s="1" t="s">
        <v>2</v>
      </c>
      <c r="C53" s="1"/>
      <c r="D53" s="1"/>
      <c r="E53" s="1"/>
      <c r="F53" s="3">
        <f>VLOOKUP("AZ",'[1]Raw Data'!$B$2:$O$102,11,FALSE)</f>
        <v>480</v>
      </c>
      <c r="G53" s="3"/>
      <c r="H53" s="3"/>
      <c r="I53" s="3">
        <f>VLOOKUP("AZ",'[1]Raw Data'!$B$2:$O$102,12,FALSE)</f>
        <v>895</v>
      </c>
      <c r="J53" s="3"/>
      <c r="K53" s="3"/>
      <c r="L53" s="3">
        <f>VLOOKUP("AZ",'[1]Raw Data'!$B$2:$O$102,13,FALSE)</f>
        <v>1021</v>
      </c>
      <c r="M53" s="3"/>
      <c r="N53" s="3"/>
      <c r="O53" s="3">
        <f>VLOOKUP("AZ",'[1]Raw Data'!$B$2:$O$102,14,FALSE)</f>
        <v>353</v>
      </c>
    </row>
    <row r="54" spans="1:15" ht="12" customHeight="1" x14ac:dyDescent="0.3"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3.5" customHeight="1" x14ac:dyDescent="0.3">
      <c r="A55" s="1"/>
      <c r="B55" s="1"/>
      <c r="C55" s="5" t="str">
        <f>IF(VLOOKUP("CA, C",'[1]Raw Data'!$B$2:$O$102,2,FALSE)="CDO","CA, C"&amp;" "&amp;CHAR(178),"CA, C")</f>
        <v>CA, C</v>
      </c>
      <c r="D55" s="1"/>
      <c r="F55" s="4">
        <f>SUM(F56:F58)</f>
        <v>2287</v>
      </c>
      <c r="G55" s="4"/>
      <c r="H55" s="4"/>
      <c r="I55" s="4">
        <f>SUM(I56:I58)</f>
        <v>2850</v>
      </c>
      <c r="J55" s="4"/>
      <c r="K55" s="4"/>
      <c r="L55" s="4">
        <f>SUM(L56:L58)</f>
        <v>2909</v>
      </c>
      <c r="M55" s="4"/>
      <c r="N55" s="4"/>
      <c r="O55" s="4">
        <f>SUM(O56:O58)</f>
        <v>2228</v>
      </c>
    </row>
    <row r="56" spans="1:15" ht="13.5" customHeight="1" x14ac:dyDescent="0.3">
      <c r="A56" s="1"/>
      <c r="B56" s="1" t="s">
        <v>4</v>
      </c>
      <c r="C56" s="1"/>
      <c r="D56" s="1"/>
      <c r="E56" s="1"/>
      <c r="F56" s="3">
        <f>VLOOKUP("CA, C",'[1]Raw Data'!$B$2:$O$102,3,FALSE)</f>
        <v>908</v>
      </c>
      <c r="G56" s="3"/>
      <c r="H56" s="3"/>
      <c r="I56" s="3">
        <f>VLOOKUP("CA, C",'[1]Raw Data'!$B$2:$O$102,4,FALSE)</f>
        <v>1034</v>
      </c>
      <c r="J56" s="3"/>
      <c r="K56" s="3"/>
      <c r="L56" s="3">
        <f>VLOOKUP("CA, C",'[1]Raw Data'!$B$2:$O$102,5,FALSE)</f>
        <v>1085</v>
      </c>
      <c r="M56" s="3"/>
      <c r="N56" s="3"/>
      <c r="O56" s="3">
        <f>VLOOKUP("CA, C",'[1]Raw Data'!$B$2:$O$102,6,FALSE)</f>
        <v>857</v>
      </c>
    </row>
    <row r="57" spans="1:15" ht="13.5" customHeight="1" x14ac:dyDescent="0.3">
      <c r="A57" s="1"/>
      <c r="B57" s="1" t="s">
        <v>3</v>
      </c>
      <c r="C57" s="1"/>
      <c r="D57" s="1"/>
      <c r="E57" s="1"/>
      <c r="F57" s="3">
        <f>VLOOKUP("CA, C",'[1]Raw Data'!$B$2:$O$102,7,FALSE)</f>
        <v>129</v>
      </c>
      <c r="G57" s="3"/>
      <c r="H57" s="3"/>
      <c r="I57" s="3">
        <f>VLOOKUP("CA, C",'[1]Raw Data'!$B$2:$O$102,8,FALSE)</f>
        <v>195</v>
      </c>
      <c r="J57" s="3"/>
      <c r="K57" s="3"/>
      <c r="L57" s="3">
        <f>VLOOKUP("CA, C",'[1]Raw Data'!$B$2:$O$102,9,FALSE)</f>
        <v>123</v>
      </c>
      <c r="M57" s="3"/>
      <c r="N57" s="3"/>
      <c r="O57" s="3">
        <f>VLOOKUP("CA, C",'[1]Raw Data'!$B$2:$O$102,10,FALSE)</f>
        <v>201</v>
      </c>
    </row>
    <row r="58" spans="1:15" ht="13.5" customHeight="1" x14ac:dyDescent="0.3">
      <c r="A58" s="1"/>
      <c r="B58" s="1" t="s">
        <v>2</v>
      </c>
      <c r="C58" s="1"/>
      <c r="D58" s="1"/>
      <c r="E58" s="1"/>
      <c r="F58" s="3">
        <f>VLOOKUP("CA, C",'[1]Raw Data'!$B$2:$O$102,11,FALSE)</f>
        <v>1250</v>
      </c>
      <c r="G58" s="3"/>
      <c r="H58" s="3"/>
      <c r="I58" s="3">
        <f>VLOOKUP("CA, C",'[1]Raw Data'!$B$2:$O$102,12,FALSE)</f>
        <v>1621</v>
      </c>
      <c r="J58" s="3"/>
      <c r="K58" s="3"/>
      <c r="L58" s="3">
        <f>VLOOKUP("CA, C",'[1]Raw Data'!$B$2:$O$102,13,FALSE)</f>
        <v>1701</v>
      </c>
      <c r="M58" s="3"/>
      <c r="N58" s="3"/>
      <c r="O58" s="3">
        <f>VLOOKUP("CA, C",'[1]Raw Data'!$B$2:$O$102,14,FALSE)</f>
        <v>1170</v>
      </c>
    </row>
    <row r="59" spans="1:15" ht="12" customHeight="1" x14ac:dyDescent="0.3"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3.5" customHeight="1" x14ac:dyDescent="0.3">
      <c r="A60" s="1"/>
      <c r="B60" s="1"/>
      <c r="C60" s="5" t="str">
        <f>IF(VLOOKUP("CA, E",'[1]Raw Data'!$B$2:$O$102,2,FALSE)="CDO","CA, E"&amp;" "&amp;CHAR(178),"CA, E")</f>
        <v>CA, E</v>
      </c>
      <c r="D60" s="1"/>
      <c r="F60" s="4">
        <f>SUM(F61:F63)</f>
        <v>840</v>
      </c>
      <c r="G60" s="4"/>
      <c r="H60" s="4"/>
      <c r="I60" s="4">
        <f>SUM(I61:I63)</f>
        <v>989</v>
      </c>
      <c r="J60" s="4"/>
      <c r="K60" s="4"/>
      <c r="L60" s="4">
        <f>SUM(L61:L63)</f>
        <v>1025</v>
      </c>
      <c r="M60" s="4"/>
      <c r="N60" s="4"/>
      <c r="O60" s="4">
        <f>SUM(O61:O63)</f>
        <v>805</v>
      </c>
    </row>
    <row r="61" spans="1:15" ht="13.5" customHeight="1" x14ac:dyDescent="0.3">
      <c r="A61" s="1"/>
      <c r="B61" s="1" t="s">
        <v>4</v>
      </c>
      <c r="C61" s="1"/>
      <c r="D61" s="1"/>
      <c r="E61" s="1"/>
      <c r="F61" s="3">
        <f>VLOOKUP("CA, E",'[1]Raw Data'!$B$2:$O$102,3,FALSE)</f>
        <v>399</v>
      </c>
      <c r="G61" s="3"/>
      <c r="H61" s="3"/>
      <c r="I61" s="3">
        <f>VLOOKUP("CA, E",'[1]Raw Data'!$B$2:$O$102,4,FALSE)</f>
        <v>519</v>
      </c>
      <c r="J61" s="3"/>
      <c r="K61" s="3"/>
      <c r="L61" s="3">
        <f>VLOOKUP("CA, E",'[1]Raw Data'!$B$2:$O$102,5,FALSE)</f>
        <v>525</v>
      </c>
      <c r="M61" s="3"/>
      <c r="N61" s="3"/>
      <c r="O61" s="3">
        <f>VLOOKUP("CA, E",'[1]Raw Data'!$B$2:$O$102,6,FALSE)</f>
        <v>394</v>
      </c>
    </row>
    <row r="62" spans="1:15" ht="13.5" customHeight="1" x14ac:dyDescent="0.3">
      <c r="A62" s="1"/>
      <c r="B62" s="1" t="s">
        <v>3</v>
      </c>
      <c r="C62" s="1"/>
      <c r="D62" s="1"/>
      <c r="E62" s="1"/>
      <c r="F62" s="3">
        <f>VLOOKUP("CA, E",'[1]Raw Data'!$B$2:$O$102,7,FALSE)</f>
        <v>58</v>
      </c>
      <c r="G62" s="3"/>
      <c r="H62" s="3"/>
      <c r="I62" s="3">
        <f>VLOOKUP("CA, E",'[1]Raw Data'!$B$2:$O$102,8,FALSE)</f>
        <v>39</v>
      </c>
      <c r="J62" s="3"/>
      <c r="K62" s="3"/>
      <c r="L62" s="3">
        <f>VLOOKUP("CA, E",'[1]Raw Data'!$B$2:$O$102,9,FALSE)</f>
        <v>50</v>
      </c>
      <c r="M62" s="3"/>
      <c r="N62" s="3"/>
      <c r="O62" s="3">
        <f>VLOOKUP("CA, E",'[1]Raw Data'!$B$2:$O$102,10,FALSE)</f>
        <v>47</v>
      </c>
    </row>
    <row r="63" spans="1:15" ht="13.5" customHeight="1" x14ac:dyDescent="0.3">
      <c r="A63" s="1"/>
      <c r="B63" s="1" t="s">
        <v>2</v>
      </c>
      <c r="C63" s="1"/>
      <c r="D63" s="1"/>
      <c r="E63" s="1"/>
      <c r="F63" s="3">
        <f>VLOOKUP("CA, E",'[1]Raw Data'!$B$2:$O$102,11,FALSE)</f>
        <v>383</v>
      </c>
      <c r="G63" s="3"/>
      <c r="H63" s="3"/>
      <c r="I63" s="3">
        <f>VLOOKUP("CA, E",'[1]Raw Data'!$B$2:$O$102,12,FALSE)</f>
        <v>431</v>
      </c>
      <c r="J63" s="3"/>
      <c r="K63" s="3"/>
      <c r="L63" s="3">
        <f>VLOOKUP("CA, E",'[1]Raw Data'!$B$2:$O$102,13,FALSE)</f>
        <v>450</v>
      </c>
      <c r="M63" s="3"/>
      <c r="N63" s="3"/>
      <c r="O63" s="3">
        <f>VLOOKUP("CA, E",'[1]Raw Data'!$B$2:$O$102,14,FALSE)</f>
        <v>364</v>
      </c>
    </row>
    <row r="64" spans="1:15" ht="12" customHeight="1" x14ac:dyDescent="0.3"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3.5" customHeight="1" x14ac:dyDescent="0.3">
      <c r="A65" s="1"/>
      <c r="B65" s="1"/>
      <c r="C65" s="5" t="str">
        <f>IF(VLOOKUP("CA, N",'[1]Raw Data'!$B$2:$O$102,2,FALSE)="CDO","CA, N"&amp;" "&amp;CHAR(178),"CA, N")</f>
        <v>CA, N</v>
      </c>
      <c r="D65" s="1"/>
      <c r="F65" s="4">
        <f>SUM(F66:F68)</f>
        <v>1045</v>
      </c>
      <c r="G65" s="4"/>
      <c r="H65" s="4"/>
      <c r="I65" s="4">
        <f>SUM(I66:I68)</f>
        <v>1477</v>
      </c>
      <c r="J65" s="4"/>
      <c r="K65" s="4"/>
      <c r="L65" s="4">
        <f>SUM(L66:L68)</f>
        <v>1744</v>
      </c>
      <c r="M65" s="4"/>
      <c r="N65" s="4"/>
      <c r="O65" s="4">
        <f>SUM(O66:O68)</f>
        <v>778</v>
      </c>
    </row>
    <row r="66" spans="1:15" ht="13.5" customHeight="1" x14ac:dyDescent="0.3">
      <c r="A66" s="1"/>
      <c r="B66" s="1" t="s">
        <v>4</v>
      </c>
      <c r="C66" s="1"/>
      <c r="D66" s="1"/>
      <c r="E66" s="1"/>
      <c r="F66" s="3">
        <f>VLOOKUP("CA, N",'[1]Raw Data'!$B$2:$O$102,3,FALSE)</f>
        <v>427</v>
      </c>
      <c r="G66" s="3"/>
      <c r="H66" s="3"/>
      <c r="I66" s="3">
        <f>VLOOKUP("CA, N",'[1]Raw Data'!$B$2:$O$102,4,FALSE)</f>
        <v>1046</v>
      </c>
      <c r="J66" s="3"/>
      <c r="K66" s="3"/>
      <c r="L66" s="3">
        <f>VLOOKUP("CA, N",'[1]Raw Data'!$B$2:$O$102,5,FALSE)</f>
        <v>996</v>
      </c>
      <c r="M66" s="3"/>
      <c r="N66" s="3"/>
      <c r="O66" s="3">
        <f>VLOOKUP("CA, N",'[1]Raw Data'!$B$2:$O$102,6,FALSE)</f>
        <v>477</v>
      </c>
    </row>
    <row r="67" spans="1:15" ht="13.5" customHeight="1" x14ac:dyDescent="0.3">
      <c r="A67" s="1"/>
      <c r="B67" s="1" t="s">
        <v>3</v>
      </c>
      <c r="C67" s="1"/>
      <c r="D67" s="1"/>
      <c r="E67" s="1"/>
      <c r="F67" s="3">
        <f>VLOOKUP("CA, N",'[1]Raw Data'!$B$2:$O$102,7,FALSE)</f>
        <v>37</v>
      </c>
      <c r="G67" s="3"/>
      <c r="H67" s="3"/>
      <c r="I67" s="3">
        <f>VLOOKUP("CA, N",'[1]Raw Data'!$B$2:$O$102,8,FALSE)</f>
        <v>44</v>
      </c>
      <c r="J67" s="3"/>
      <c r="K67" s="3"/>
      <c r="L67" s="3">
        <f>VLOOKUP("CA, N",'[1]Raw Data'!$B$2:$O$102,9,FALSE)</f>
        <v>40</v>
      </c>
      <c r="M67" s="3"/>
      <c r="N67" s="3"/>
      <c r="O67" s="3">
        <f>VLOOKUP("CA, N",'[1]Raw Data'!$B$2:$O$102,10,FALSE)</f>
        <v>41</v>
      </c>
    </row>
    <row r="68" spans="1:15" ht="13.5" customHeight="1" x14ac:dyDescent="0.3">
      <c r="A68" s="1"/>
      <c r="B68" s="1" t="s">
        <v>2</v>
      </c>
      <c r="C68" s="1"/>
      <c r="D68" s="1"/>
      <c r="E68" s="1"/>
      <c r="F68" s="3">
        <f>VLOOKUP("CA, N",'[1]Raw Data'!$B$2:$O$102,11,FALSE)</f>
        <v>581</v>
      </c>
      <c r="G68" s="3"/>
      <c r="H68" s="3"/>
      <c r="I68" s="3">
        <f>VLOOKUP("CA, N",'[1]Raw Data'!$B$2:$O$102,12,FALSE)</f>
        <v>387</v>
      </c>
      <c r="J68" s="3"/>
      <c r="K68" s="3"/>
      <c r="L68" s="3">
        <f>VLOOKUP("CA, N",'[1]Raw Data'!$B$2:$O$102,13,FALSE)</f>
        <v>708</v>
      </c>
      <c r="M68" s="3"/>
      <c r="N68" s="3"/>
      <c r="O68" s="3">
        <f>VLOOKUP("CA, N",'[1]Raw Data'!$B$2:$O$102,14,FALSE)</f>
        <v>260</v>
      </c>
    </row>
    <row r="69" spans="1:15" ht="12" customHeight="1" x14ac:dyDescent="0.3"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3.5" customHeight="1" x14ac:dyDescent="0.3">
      <c r="A70" s="1"/>
      <c r="B70" s="1"/>
      <c r="C70" s="5" t="str">
        <f>IF(VLOOKUP("CA, S",'[1]Raw Data'!$B$2:$O$102,2,FALSE)="CDO","CA, S"&amp;" "&amp;CHAR(178),"CA, S")</f>
        <v>CA, S ²</v>
      </c>
      <c r="D70" s="1"/>
      <c r="F70" s="4">
        <f>SUM(F71:F73)</f>
        <v>2534</v>
      </c>
      <c r="G70" s="4"/>
      <c r="H70" s="4"/>
      <c r="I70" s="4">
        <f>SUM(I71:I73)</f>
        <v>5079</v>
      </c>
      <c r="J70" s="4"/>
      <c r="K70" s="4"/>
      <c r="L70" s="4">
        <f>SUM(L71:L73)</f>
        <v>5735</v>
      </c>
      <c r="M70" s="4"/>
      <c r="N70" s="4"/>
      <c r="O70" s="4">
        <f>SUM(O71:O73)</f>
        <v>1878</v>
      </c>
    </row>
    <row r="71" spans="1:15" ht="13.5" customHeight="1" x14ac:dyDescent="0.3">
      <c r="A71" s="1"/>
      <c r="B71" s="1" t="s">
        <v>4</v>
      </c>
      <c r="C71" s="1"/>
      <c r="D71" s="1"/>
      <c r="E71" s="1"/>
      <c r="F71" s="3">
        <f>VLOOKUP("CA, S",'[1]Raw Data'!$B$2:$O$102,3,FALSE)</f>
        <v>1682</v>
      </c>
      <c r="G71" s="3"/>
      <c r="H71" s="3"/>
      <c r="I71" s="3">
        <f>VLOOKUP("CA, S",'[1]Raw Data'!$B$2:$O$102,4,FALSE)</f>
        <v>1747</v>
      </c>
      <c r="J71" s="3"/>
      <c r="K71" s="3"/>
      <c r="L71" s="3">
        <f>VLOOKUP("CA, S",'[1]Raw Data'!$B$2:$O$102,5,FALSE)</f>
        <v>2276</v>
      </c>
      <c r="M71" s="3"/>
      <c r="N71" s="3"/>
      <c r="O71" s="3">
        <f>VLOOKUP("CA, S",'[1]Raw Data'!$B$2:$O$102,6,FALSE)</f>
        <v>1153</v>
      </c>
    </row>
    <row r="72" spans="1:15" ht="13.5" customHeight="1" x14ac:dyDescent="0.3">
      <c r="A72" s="1"/>
      <c r="B72" s="1" t="s">
        <v>3</v>
      </c>
      <c r="C72" s="1"/>
      <c r="D72" s="1"/>
      <c r="E72" s="1"/>
      <c r="F72" s="3">
        <f>VLOOKUP("CA, S",'[1]Raw Data'!$B$2:$O$102,7,FALSE)</f>
        <v>421</v>
      </c>
      <c r="G72" s="3"/>
      <c r="H72" s="3"/>
      <c r="I72" s="3">
        <f>VLOOKUP("CA, S",'[1]Raw Data'!$B$2:$O$102,8,FALSE)</f>
        <v>74</v>
      </c>
      <c r="J72" s="3"/>
      <c r="K72" s="3"/>
      <c r="L72" s="3">
        <f>VLOOKUP("CA, S",'[1]Raw Data'!$B$2:$O$102,9,FALSE)</f>
        <v>102</v>
      </c>
      <c r="M72" s="3"/>
      <c r="N72" s="3"/>
      <c r="O72" s="3">
        <f>VLOOKUP("CA, S",'[1]Raw Data'!$B$2:$O$102,10,FALSE)</f>
        <v>393</v>
      </c>
    </row>
    <row r="73" spans="1:15" ht="13.5" customHeight="1" x14ac:dyDescent="0.3">
      <c r="A73" s="1"/>
      <c r="B73" s="1" t="s">
        <v>2</v>
      </c>
      <c r="C73" s="1"/>
      <c r="D73" s="1"/>
      <c r="E73" s="1"/>
      <c r="F73" s="3">
        <f>VLOOKUP("CA, S",'[1]Raw Data'!$B$2:$O$102,11,FALSE)</f>
        <v>431</v>
      </c>
      <c r="G73" s="3"/>
      <c r="H73" s="3"/>
      <c r="I73" s="3">
        <f>VLOOKUP("CA, S",'[1]Raw Data'!$B$2:$O$102,12,FALSE)</f>
        <v>3258</v>
      </c>
      <c r="J73" s="3"/>
      <c r="K73" s="3"/>
      <c r="L73" s="3">
        <f>VLOOKUP("CA, S",'[1]Raw Data'!$B$2:$O$102,13,FALSE)</f>
        <v>3357</v>
      </c>
      <c r="M73" s="3"/>
      <c r="N73" s="3"/>
      <c r="O73" s="3">
        <f>VLOOKUP("CA, S",'[1]Raw Data'!$B$2:$O$102,14,FALSE)</f>
        <v>332</v>
      </c>
    </row>
    <row r="74" spans="1:15" ht="12" customHeight="1" x14ac:dyDescent="0.3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.5" customHeight="1" x14ac:dyDescent="0.3">
      <c r="A75" s="1"/>
      <c r="B75" s="1"/>
      <c r="C75" s="5" t="str">
        <f>IF(VLOOKUP("TOT: CO/WY",'[1]Raw Data'!$B$2:$O$102,2,FALSE)="CDO","TOT: CO/WY"&amp;" "&amp;CHAR(178),"TOT: CO/WY")</f>
        <v>TOT: CO/WY</v>
      </c>
      <c r="D75" s="1"/>
      <c r="F75" s="4">
        <f>IF(SUM(F76:F78)-SUM(F80,F92)=0,SUM(F76:F78),"ERROR")</f>
        <v>382</v>
      </c>
      <c r="G75" s="4"/>
      <c r="H75" s="4"/>
      <c r="I75" s="4">
        <f>IF(SUM(I76:I78)-SUM(I80,I92)=0,SUM(I76:I78),"ERROR")</f>
        <v>879</v>
      </c>
      <c r="J75" s="4"/>
      <c r="K75" s="4"/>
      <c r="L75" s="4">
        <f>IF(SUM(L76:L78)-SUM(L80,L92)=0,SUM(L76:L78),"ERROR")</f>
        <v>836</v>
      </c>
      <c r="M75" s="4"/>
      <c r="N75" s="4"/>
      <c r="O75" s="4">
        <f>IF(SUM(O76:O78)-SUM(O80,O92)=0,SUM(O76:O78),"ERROR")</f>
        <v>425</v>
      </c>
    </row>
    <row r="76" spans="1:15" ht="13.5" customHeight="1" x14ac:dyDescent="0.3">
      <c r="A76" s="1"/>
      <c r="B76" s="1" t="s">
        <v>4</v>
      </c>
      <c r="C76" s="1"/>
      <c r="D76" s="1"/>
      <c r="E76" s="1"/>
      <c r="F76" s="3">
        <f>VLOOKUP("TOT: CO/WY",'[1]Raw Data'!$B$2:$O$102,3,FALSE)</f>
        <v>193</v>
      </c>
      <c r="G76" s="3"/>
      <c r="H76" s="3"/>
      <c r="I76" s="3">
        <f>VLOOKUP("TOT: CO/WY",'[1]Raw Data'!$B$2:$O$102,4,FALSE)</f>
        <v>416</v>
      </c>
      <c r="J76" s="3"/>
      <c r="K76" s="3"/>
      <c r="L76" s="3">
        <f>VLOOKUP("TOT: CO/WY",'[1]Raw Data'!$B$2:$O$102,5,FALSE)</f>
        <v>378</v>
      </c>
      <c r="M76" s="3"/>
      <c r="N76" s="3"/>
      <c r="O76" s="3">
        <f>VLOOKUP("TOT: CO/WY",'[1]Raw Data'!$B$2:$O$102,6,FALSE)</f>
        <v>231</v>
      </c>
    </row>
    <row r="77" spans="1:15" ht="13.5" customHeight="1" x14ac:dyDescent="0.3">
      <c r="A77" s="1"/>
      <c r="B77" s="1" t="s">
        <v>3</v>
      </c>
      <c r="C77" s="1"/>
      <c r="D77" s="1"/>
      <c r="E77" s="1"/>
      <c r="F77" s="3">
        <f>VLOOKUP("TOT: CO/WY",'[1]Raw Data'!$B$2:$O$102,7,FALSE)</f>
        <v>103</v>
      </c>
      <c r="G77" s="3"/>
      <c r="H77" s="3"/>
      <c r="I77" s="3">
        <f>VLOOKUP("TOT: CO/WY",'[1]Raw Data'!$B$2:$O$102,8,FALSE)</f>
        <v>162</v>
      </c>
      <c r="J77" s="3"/>
      <c r="K77" s="3"/>
      <c r="L77" s="3">
        <f>VLOOKUP("TOT: CO/WY",'[1]Raw Data'!$B$2:$O$102,9,FALSE)</f>
        <v>163</v>
      </c>
      <c r="M77" s="3"/>
      <c r="N77" s="3"/>
      <c r="O77" s="3">
        <f>VLOOKUP("TOT: CO/WY",'[1]Raw Data'!$B$2:$O$102,10,FALSE)</f>
        <v>102</v>
      </c>
    </row>
    <row r="78" spans="1:15" ht="13.5" customHeight="1" x14ac:dyDescent="0.3">
      <c r="A78" s="1"/>
      <c r="B78" s="1" t="s">
        <v>2</v>
      </c>
      <c r="C78" s="1"/>
      <c r="D78" s="1"/>
      <c r="E78" s="1"/>
      <c r="F78" s="3">
        <f>VLOOKUP("TOT: CO/WY",'[1]Raw Data'!$B$2:$O$102,11,FALSE)</f>
        <v>86</v>
      </c>
      <c r="G78" s="3"/>
      <c r="H78" s="3"/>
      <c r="I78" s="3">
        <f>VLOOKUP("TOT: CO/WY",'[1]Raw Data'!$B$2:$O$102,12,FALSE)</f>
        <v>301</v>
      </c>
      <c r="J78" s="3"/>
      <c r="K78" s="3"/>
      <c r="L78" s="3">
        <f>VLOOKUP("TOT: CO/WY",'[1]Raw Data'!$B$2:$O$102,13,FALSE)</f>
        <v>295</v>
      </c>
      <c r="M78" s="3"/>
      <c r="N78" s="3"/>
      <c r="O78" s="3">
        <f>VLOOKUP("TOT: CO/WY",'[1]Raw Data'!$B$2:$O$102,14,FALSE)</f>
        <v>92</v>
      </c>
    </row>
    <row r="79" spans="1:15" ht="12" customHeight="1" x14ac:dyDescent="0.3"/>
    <row r="80" spans="1:15" ht="13.5" customHeight="1" x14ac:dyDescent="0.3">
      <c r="A80" s="1"/>
      <c r="B80" s="1"/>
      <c r="C80" s="5" t="str">
        <f>IF(VLOOKUP("   CO",'[1]Raw Data'!$B$2:$O$102,2,FALSE)="CDO","CO"&amp;" "&amp;CHAR(178),"CO")</f>
        <v>CO</v>
      </c>
      <c r="D80" s="1"/>
      <c r="F80" s="4">
        <f>SUM(F81:F83)</f>
        <v>335</v>
      </c>
      <c r="G80" s="4"/>
      <c r="H80" s="4"/>
      <c r="I80" s="4">
        <f>SUM(I81:I83)</f>
        <v>678</v>
      </c>
      <c r="J80" s="4"/>
      <c r="K80" s="4"/>
      <c r="L80" s="4">
        <f>SUM(L81:L83)</f>
        <v>655</v>
      </c>
      <c r="M80" s="4"/>
      <c r="N80" s="4"/>
      <c r="O80" s="4">
        <f>SUM(O81:O83)</f>
        <v>358</v>
      </c>
    </row>
    <row r="81" spans="1:16" ht="13.5" customHeight="1" x14ac:dyDescent="0.3">
      <c r="A81" s="1"/>
      <c r="B81" s="1" t="s">
        <v>4</v>
      </c>
      <c r="C81" s="1"/>
      <c r="D81" s="1"/>
      <c r="E81" s="1"/>
      <c r="F81" s="3">
        <f>VLOOKUP("   CO",'[1]Raw Data'!$B$2:$O$102,3,FALSE)</f>
        <v>162</v>
      </c>
      <c r="G81" s="3"/>
      <c r="H81" s="3"/>
      <c r="I81" s="3">
        <f>VLOOKUP("   CO",'[1]Raw Data'!$B$2:$O$102,4,FALSE)</f>
        <v>304</v>
      </c>
      <c r="J81" s="3"/>
      <c r="K81" s="3"/>
      <c r="L81" s="3">
        <f>VLOOKUP("   CO",'[1]Raw Data'!$B$2:$O$102,5,FALSE)</f>
        <v>284</v>
      </c>
      <c r="M81" s="3"/>
      <c r="N81" s="3"/>
      <c r="O81" s="3">
        <f>VLOOKUP("   CO",'[1]Raw Data'!$B$2:$O$102,6,FALSE)</f>
        <v>182</v>
      </c>
    </row>
    <row r="82" spans="1:16" ht="13.5" customHeight="1" x14ac:dyDescent="0.3">
      <c r="A82" s="1"/>
      <c r="B82" s="1" t="s">
        <v>3</v>
      </c>
      <c r="C82" s="1"/>
      <c r="D82" s="1"/>
      <c r="E82" s="1"/>
      <c r="F82" s="3">
        <f>VLOOKUP("   CO",'[1]Raw Data'!$B$2:$O$102,7,FALSE)</f>
        <v>102</v>
      </c>
      <c r="G82" s="3"/>
      <c r="H82" s="3"/>
      <c r="I82" s="3">
        <f>VLOOKUP("   CO",'[1]Raw Data'!$B$2:$O$102,8,FALSE)</f>
        <v>162</v>
      </c>
      <c r="J82" s="3"/>
      <c r="K82" s="3"/>
      <c r="L82" s="3">
        <f>VLOOKUP("   CO",'[1]Raw Data'!$B$2:$O$102,9,FALSE)</f>
        <v>162</v>
      </c>
      <c r="M82" s="3"/>
      <c r="N82" s="3"/>
      <c r="O82" s="3">
        <f>VLOOKUP("   CO",'[1]Raw Data'!$B$2:$O$102,10,FALSE)</f>
        <v>102</v>
      </c>
    </row>
    <row r="83" spans="1:16" ht="13.5" customHeight="1" x14ac:dyDescent="0.3">
      <c r="A83" s="1"/>
      <c r="B83" s="1" t="s">
        <v>2</v>
      </c>
      <c r="C83" s="1"/>
      <c r="D83" s="1"/>
      <c r="E83" s="1"/>
      <c r="F83" s="3">
        <f>VLOOKUP("   CO",'[1]Raw Data'!$B$2:$O$102,11,FALSE)</f>
        <v>71</v>
      </c>
      <c r="G83" s="3"/>
      <c r="H83" s="3"/>
      <c r="I83" s="3">
        <f>VLOOKUP("   CO",'[1]Raw Data'!$B$2:$O$102,12,FALSE)</f>
        <v>212</v>
      </c>
      <c r="J83" s="3"/>
      <c r="K83" s="3"/>
      <c r="L83" s="3">
        <f>VLOOKUP("   CO",'[1]Raw Data'!$B$2:$O$102,13,FALSE)</f>
        <v>209</v>
      </c>
      <c r="M83" s="3"/>
      <c r="N83" s="3"/>
      <c r="O83" s="3">
        <f>VLOOKUP("   CO",'[1]Raw Data'!$B$2:$O$102,14,FALSE)</f>
        <v>74</v>
      </c>
    </row>
    <row r="84" spans="1:16" ht="12" customHeight="1" x14ac:dyDescent="0.3"/>
    <row r="85" spans="1:16" ht="12" customHeight="1" x14ac:dyDescent="0.3"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6" ht="15" customHeight="1" x14ac:dyDescent="0.3">
      <c r="A86" s="7" t="str">
        <f>"Table K-1. (September 30, "&amp;'[1]Raw Data'!$A$2&amp;"—Continued)"</f>
        <v>Table K-1. (September 30, 2022—Continued)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6" ht="12" customHeight="1" x14ac:dyDescent="0.3"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6" ht="15" customHeight="1" x14ac:dyDescent="0.3">
      <c r="A88" s="11" t="s">
        <v>12</v>
      </c>
      <c r="B88" s="11"/>
      <c r="C88" s="11"/>
      <c r="D88" s="12"/>
      <c r="E88" s="10" t="s">
        <v>10</v>
      </c>
      <c r="F88" s="11"/>
      <c r="G88" s="12"/>
      <c r="H88" s="10" t="s">
        <v>11</v>
      </c>
      <c r="I88" s="11"/>
      <c r="J88" s="12"/>
      <c r="K88" s="10" t="s">
        <v>11</v>
      </c>
      <c r="L88" s="11"/>
      <c r="M88" s="12"/>
      <c r="N88" s="10" t="s">
        <v>10</v>
      </c>
      <c r="O88" s="11"/>
      <c r="P88" s="11"/>
    </row>
    <row r="89" spans="1:16" ht="13.5" customHeight="1" x14ac:dyDescent="0.3">
      <c r="A89" s="14" t="s">
        <v>9</v>
      </c>
      <c r="B89" s="14"/>
      <c r="C89" s="14"/>
      <c r="D89" s="15"/>
      <c r="E89" s="13" t="s">
        <v>8</v>
      </c>
      <c r="F89" s="14"/>
      <c r="G89" s="15"/>
      <c r="H89" s="13" t="s">
        <v>7</v>
      </c>
      <c r="I89" s="14"/>
      <c r="J89" s="15"/>
      <c r="K89" s="13" t="s">
        <v>6</v>
      </c>
      <c r="L89" s="14"/>
      <c r="M89" s="15"/>
      <c r="N89" s="13" t="s">
        <v>5</v>
      </c>
      <c r="O89" s="14"/>
      <c r="P89" s="14"/>
    </row>
    <row r="90" spans="1:16" ht="3.7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3.5" customHeight="1" x14ac:dyDescent="0.3"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6" ht="13.5" customHeight="1" x14ac:dyDescent="0.3">
      <c r="A92" s="1"/>
      <c r="B92" s="1"/>
      <c r="C92" s="5" t="str">
        <f>IF(VLOOKUP("   WY",'[1]Raw Data'!$B$2:$O$102,2,FALSE)="CDO","WY"&amp;" "&amp;CHAR(178),"WY")</f>
        <v>WY</v>
      </c>
      <c r="D92" s="1"/>
      <c r="F92" s="4">
        <f>SUM(F93:F95)</f>
        <v>47</v>
      </c>
      <c r="G92" s="4"/>
      <c r="H92" s="4"/>
      <c r="I92" s="4">
        <f>SUM(I93:I95)</f>
        <v>201</v>
      </c>
      <c r="J92" s="4"/>
      <c r="K92" s="4"/>
      <c r="L92" s="4">
        <f>SUM(L93:L95)</f>
        <v>181</v>
      </c>
      <c r="M92" s="4"/>
      <c r="N92" s="4"/>
      <c r="O92" s="4">
        <f>SUM(O93:O95)</f>
        <v>67</v>
      </c>
    </row>
    <row r="93" spans="1:16" ht="13.5" customHeight="1" x14ac:dyDescent="0.3">
      <c r="A93" s="1"/>
      <c r="B93" s="1" t="s">
        <v>4</v>
      </c>
      <c r="C93" s="1"/>
      <c r="D93" s="1"/>
      <c r="E93" s="1"/>
      <c r="F93" s="3">
        <f>VLOOKUP("   WY",'[1]Raw Data'!$B$2:$O$102,3,FALSE)</f>
        <v>31</v>
      </c>
      <c r="G93" s="3"/>
      <c r="H93" s="3"/>
      <c r="I93" s="3">
        <f>VLOOKUP("   WY",'[1]Raw Data'!$B$2:$O$102,4,FALSE)</f>
        <v>112</v>
      </c>
      <c r="J93" s="3"/>
      <c r="K93" s="3"/>
      <c r="L93" s="3">
        <f>VLOOKUP("   WY",'[1]Raw Data'!$B$2:$O$102,5,FALSE)</f>
        <v>94</v>
      </c>
      <c r="M93" s="3"/>
      <c r="N93" s="3"/>
      <c r="O93" s="3">
        <f>VLOOKUP("   WY",'[1]Raw Data'!$B$2:$O$102,6,FALSE)</f>
        <v>49</v>
      </c>
    </row>
    <row r="94" spans="1:16" ht="13.5" customHeight="1" x14ac:dyDescent="0.3">
      <c r="A94" s="1"/>
      <c r="B94" s="1" t="s">
        <v>3</v>
      </c>
      <c r="C94" s="1"/>
      <c r="D94" s="1"/>
      <c r="E94" s="1"/>
      <c r="F94" s="3">
        <f>VLOOKUP("   WY",'[1]Raw Data'!$B$2:$O$102,7,FALSE)</f>
        <v>1</v>
      </c>
      <c r="G94" s="3"/>
      <c r="H94" s="3"/>
      <c r="I94" s="3">
        <f>VLOOKUP("   WY",'[1]Raw Data'!$B$2:$O$102,8,FALSE)</f>
        <v>0</v>
      </c>
      <c r="J94" s="3"/>
      <c r="K94" s="3"/>
      <c r="L94" s="3">
        <f>VLOOKUP("   WY",'[1]Raw Data'!$B$2:$O$102,9,FALSE)</f>
        <v>1</v>
      </c>
      <c r="M94" s="3"/>
      <c r="N94" s="3"/>
      <c r="O94" s="3">
        <f>VLOOKUP("   WY",'[1]Raw Data'!$B$2:$O$102,10,FALSE)</f>
        <v>0</v>
      </c>
    </row>
    <row r="95" spans="1:16" ht="13.5" customHeight="1" x14ac:dyDescent="0.3">
      <c r="A95" s="1"/>
      <c r="B95" s="1" t="s">
        <v>2</v>
      </c>
      <c r="C95" s="1"/>
      <c r="D95" s="1"/>
      <c r="E95" s="1"/>
      <c r="F95" s="3">
        <f>VLOOKUP("   WY",'[1]Raw Data'!$B$2:$O$102,11,FALSE)</f>
        <v>15</v>
      </c>
      <c r="G95" s="3"/>
      <c r="H95" s="3"/>
      <c r="I95" s="3">
        <f>VLOOKUP("   WY",'[1]Raw Data'!$B$2:$O$102,12,FALSE)</f>
        <v>89</v>
      </c>
      <c r="J95" s="3"/>
      <c r="K95" s="3"/>
      <c r="L95" s="3">
        <f>VLOOKUP("   WY",'[1]Raw Data'!$B$2:$O$102,13,FALSE)</f>
        <v>86</v>
      </c>
      <c r="M95" s="3"/>
      <c r="N95" s="3"/>
      <c r="O95" s="3">
        <f>VLOOKUP("   WY",'[1]Raw Data'!$B$2:$O$102,14,FALSE)</f>
        <v>18</v>
      </c>
    </row>
    <row r="96" spans="1:16" ht="12" customHeight="1" x14ac:dyDescent="0.3"/>
    <row r="97" spans="1:15" ht="13.5" customHeight="1" x14ac:dyDescent="0.3">
      <c r="A97" s="1"/>
      <c r="B97" s="1"/>
      <c r="C97" s="5" t="str">
        <f>IF(VLOOKUP("CT",'[1]Raw Data'!$B$2:$O$102,2,FALSE)="CDO","CT"&amp;" "&amp;CHAR(178),"CT")</f>
        <v>CT</v>
      </c>
      <c r="D97" s="1"/>
      <c r="F97" s="4">
        <f>SUM(F98:F100)</f>
        <v>724</v>
      </c>
      <c r="G97" s="4"/>
      <c r="H97" s="4"/>
      <c r="I97" s="4">
        <f>SUM(I98:I100)</f>
        <v>709</v>
      </c>
      <c r="J97" s="4"/>
      <c r="K97" s="4"/>
      <c r="L97" s="4">
        <f>SUM(L98:L100)</f>
        <v>784</v>
      </c>
      <c r="M97" s="4"/>
      <c r="N97" s="4"/>
      <c r="O97" s="4">
        <f>SUM(O98:O100)</f>
        <v>649</v>
      </c>
    </row>
    <row r="98" spans="1:15" ht="13.5" customHeight="1" x14ac:dyDescent="0.3">
      <c r="A98" s="1"/>
      <c r="B98" s="1" t="s">
        <v>4</v>
      </c>
      <c r="C98" s="1"/>
      <c r="D98" s="1"/>
      <c r="E98" s="1"/>
      <c r="F98" s="3">
        <f>VLOOKUP("CT",'[1]Raw Data'!$B$2:$O$102,3,FALSE)</f>
        <v>209</v>
      </c>
      <c r="G98" s="3"/>
      <c r="H98" s="3"/>
      <c r="I98" s="3">
        <f>VLOOKUP("CT",'[1]Raw Data'!$B$2:$O$102,4,FALSE)</f>
        <v>127</v>
      </c>
      <c r="J98" s="3"/>
      <c r="K98" s="3"/>
      <c r="L98" s="3">
        <f>VLOOKUP("CT",'[1]Raw Data'!$B$2:$O$102,5,FALSE)</f>
        <v>143</v>
      </c>
      <c r="M98" s="3"/>
      <c r="N98" s="3"/>
      <c r="O98" s="3">
        <f>VLOOKUP("CT",'[1]Raw Data'!$B$2:$O$102,6,FALSE)</f>
        <v>193</v>
      </c>
    </row>
    <row r="99" spans="1:15" ht="13.5" customHeight="1" x14ac:dyDescent="0.3">
      <c r="A99" s="1"/>
      <c r="B99" s="1" t="s">
        <v>3</v>
      </c>
      <c r="C99" s="1"/>
      <c r="D99" s="1"/>
      <c r="E99" s="1"/>
      <c r="F99" s="3">
        <f>VLOOKUP("CT",'[1]Raw Data'!$B$2:$O$102,7,FALSE)</f>
        <v>14</v>
      </c>
      <c r="G99" s="3"/>
      <c r="H99" s="3"/>
      <c r="I99" s="3">
        <f>VLOOKUP("CT",'[1]Raw Data'!$B$2:$O$102,8,FALSE)</f>
        <v>14</v>
      </c>
      <c r="J99" s="3"/>
      <c r="K99" s="3"/>
      <c r="L99" s="3">
        <f>VLOOKUP("CT",'[1]Raw Data'!$B$2:$O$102,9,FALSE)</f>
        <v>17</v>
      </c>
      <c r="M99" s="3"/>
      <c r="N99" s="3"/>
      <c r="O99" s="3">
        <f>VLOOKUP("CT",'[1]Raw Data'!$B$2:$O$102,10,FALSE)</f>
        <v>11</v>
      </c>
    </row>
    <row r="100" spans="1:15" ht="13.5" customHeight="1" x14ac:dyDescent="0.3">
      <c r="A100" s="1"/>
      <c r="B100" s="1" t="s">
        <v>2</v>
      </c>
      <c r="C100" s="1"/>
      <c r="D100" s="1"/>
      <c r="E100" s="1"/>
      <c r="F100" s="3">
        <f>VLOOKUP("CT",'[1]Raw Data'!$B$2:$O$102,11,FALSE)</f>
        <v>501</v>
      </c>
      <c r="G100" s="3"/>
      <c r="H100" s="3"/>
      <c r="I100" s="3">
        <f>VLOOKUP("CT",'[1]Raw Data'!$B$2:$O$102,12,FALSE)</f>
        <v>568</v>
      </c>
      <c r="J100" s="3"/>
      <c r="K100" s="3"/>
      <c r="L100" s="3">
        <f>VLOOKUP("CT",'[1]Raw Data'!$B$2:$O$102,13,FALSE)</f>
        <v>624</v>
      </c>
      <c r="M100" s="3"/>
      <c r="N100" s="3"/>
      <c r="O100" s="3">
        <f>VLOOKUP("CT",'[1]Raw Data'!$B$2:$O$102,14,FALSE)</f>
        <v>445</v>
      </c>
    </row>
    <row r="101" spans="1:15" ht="12" customHeight="1" x14ac:dyDescent="0.3"/>
    <row r="102" spans="1:15" ht="13.5" customHeight="1" x14ac:dyDescent="0.3">
      <c r="A102" s="1"/>
      <c r="B102" s="1"/>
      <c r="C102" s="5" t="str">
        <f>IF(VLOOKUP("DC",'[1]Raw Data'!$B$2:$O$102,2,FALSE)="CDO","DC"&amp;" "&amp;CHAR(178),"DC")</f>
        <v>DC</v>
      </c>
      <c r="D102" s="1"/>
      <c r="F102" s="4">
        <f>SUM(F103:F105)</f>
        <v>779</v>
      </c>
      <c r="G102" s="4"/>
      <c r="H102" s="4"/>
      <c r="I102" s="4">
        <f>SUM(I103:I105)</f>
        <v>328</v>
      </c>
      <c r="J102" s="4"/>
      <c r="K102" s="4"/>
      <c r="L102" s="4">
        <f>SUM(L103:L105)</f>
        <v>413</v>
      </c>
      <c r="M102" s="4"/>
      <c r="N102" s="4"/>
      <c r="O102" s="4">
        <f>SUM(O103:O105)</f>
        <v>692</v>
      </c>
    </row>
    <row r="103" spans="1:15" ht="13.5" customHeight="1" x14ac:dyDescent="0.3">
      <c r="A103" s="1"/>
      <c r="B103" s="1" t="s">
        <v>4</v>
      </c>
      <c r="C103" s="1"/>
      <c r="D103" s="1"/>
      <c r="E103" s="1"/>
      <c r="F103" s="3">
        <f>VLOOKUP("DC",'[1]Raw Data'!$B$2:$O$102,3,FALSE)</f>
        <v>343</v>
      </c>
      <c r="G103" s="3"/>
      <c r="H103" s="3"/>
      <c r="I103" s="3">
        <f>VLOOKUP("DC",'[1]Raw Data'!$B$2:$O$102,4,FALSE)</f>
        <v>140</v>
      </c>
      <c r="J103" s="3"/>
      <c r="K103" s="3"/>
      <c r="L103" s="3">
        <f>VLOOKUP("DC",'[1]Raw Data'!$B$2:$O$102,5,FALSE)</f>
        <v>174</v>
      </c>
      <c r="M103" s="3"/>
      <c r="N103" s="3"/>
      <c r="O103" s="3">
        <f>VLOOKUP("DC",'[1]Raw Data'!$B$2:$O$102,6,FALSE)</f>
        <v>308</v>
      </c>
    </row>
    <row r="104" spans="1:15" ht="13.5" customHeight="1" x14ac:dyDescent="0.3">
      <c r="A104" s="1"/>
      <c r="B104" s="1" t="s">
        <v>3</v>
      </c>
      <c r="C104" s="1"/>
      <c r="D104" s="1"/>
      <c r="E104" s="1"/>
      <c r="F104" s="3">
        <f>VLOOKUP("DC",'[1]Raw Data'!$B$2:$O$102,7,FALSE)</f>
        <v>122</v>
      </c>
      <c r="G104" s="3"/>
      <c r="H104" s="3"/>
      <c r="I104" s="3">
        <f>VLOOKUP("DC",'[1]Raw Data'!$B$2:$O$102,8,FALSE)</f>
        <v>40</v>
      </c>
      <c r="J104" s="3"/>
      <c r="K104" s="3"/>
      <c r="L104" s="3">
        <f>VLOOKUP("DC",'[1]Raw Data'!$B$2:$O$102,9,FALSE)</f>
        <v>42</v>
      </c>
      <c r="M104" s="3"/>
      <c r="N104" s="3"/>
      <c r="O104" s="3">
        <f>VLOOKUP("DC",'[1]Raw Data'!$B$2:$O$102,10,FALSE)</f>
        <v>120</v>
      </c>
    </row>
    <row r="105" spans="1:15" ht="13.5" customHeight="1" x14ac:dyDescent="0.3">
      <c r="A105" s="1"/>
      <c r="B105" s="1" t="s">
        <v>2</v>
      </c>
      <c r="C105" s="1"/>
      <c r="D105" s="1"/>
      <c r="E105" s="1"/>
      <c r="F105" s="3">
        <f>VLOOKUP("DC",'[1]Raw Data'!$B$2:$O$102,11,FALSE)</f>
        <v>314</v>
      </c>
      <c r="G105" s="3"/>
      <c r="H105" s="3"/>
      <c r="I105" s="3">
        <f>VLOOKUP("DC",'[1]Raw Data'!$B$2:$O$102,12,FALSE)</f>
        <v>148</v>
      </c>
      <c r="J105" s="3"/>
      <c r="K105" s="3"/>
      <c r="L105" s="3">
        <f>VLOOKUP("DC",'[1]Raw Data'!$B$2:$O$102,13,FALSE)</f>
        <v>197</v>
      </c>
      <c r="M105" s="3"/>
      <c r="N105" s="3"/>
      <c r="O105" s="3">
        <f>VLOOKUP("DC",'[1]Raw Data'!$B$2:$O$102,14,FALSE)</f>
        <v>264</v>
      </c>
    </row>
    <row r="106" spans="1:15" ht="12" customHeight="1" x14ac:dyDescent="0.3"/>
    <row r="107" spans="1:15" ht="13.5" customHeight="1" x14ac:dyDescent="0.3">
      <c r="A107" s="1"/>
      <c r="B107" s="1"/>
      <c r="C107" s="5" t="str">
        <f>IF(VLOOKUP("DEL",'[1]Raw Data'!$B$2:$O$102,2,FALSE)="CDO","DE"&amp;" "&amp;CHAR(178),"DE")</f>
        <v>DE</v>
      </c>
      <c r="D107" s="1"/>
      <c r="F107" s="4">
        <f>SUM(F108:F110)</f>
        <v>150</v>
      </c>
      <c r="G107" s="4"/>
      <c r="H107" s="4"/>
      <c r="I107" s="4">
        <f>SUM(I108:I110)</f>
        <v>166</v>
      </c>
      <c r="J107" s="4"/>
      <c r="K107" s="4"/>
      <c r="L107" s="4">
        <f>SUM(L108:L110)</f>
        <v>161</v>
      </c>
      <c r="M107" s="4"/>
      <c r="N107" s="4"/>
      <c r="O107" s="4">
        <f>SUM(O108:O110)</f>
        <v>155</v>
      </c>
    </row>
    <row r="108" spans="1:15" ht="13.5" customHeight="1" x14ac:dyDescent="0.3">
      <c r="A108" s="1"/>
      <c r="B108" s="1" t="s">
        <v>4</v>
      </c>
      <c r="C108" s="1"/>
      <c r="D108" s="1"/>
      <c r="E108" s="1"/>
      <c r="F108" s="3">
        <f>VLOOKUP("DEL",'[1]Raw Data'!$B$2:$O$102,3,FALSE)</f>
        <v>80</v>
      </c>
      <c r="G108" s="3"/>
      <c r="H108" s="3"/>
      <c r="I108" s="3">
        <f>VLOOKUP("DEL",'[1]Raw Data'!$B$2:$O$102,4,FALSE)</f>
        <v>109</v>
      </c>
      <c r="J108" s="3"/>
      <c r="K108" s="3"/>
      <c r="L108" s="3">
        <f>VLOOKUP("DEL",'[1]Raw Data'!$B$2:$O$102,5,FALSE)</f>
        <v>100</v>
      </c>
      <c r="M108" s="3"/>
      <c r="N108" s="3"/>
      <c r="O108" s="3">
        <f>VLOOKUP("DEL",'[1]Raw Data'!$B$2:$O$102,6,FALSE)</f>
        <v>89</v>
      </c>
    </row>
    <row r="109" spans="1:15" ht="13.5" customHeight="1" x14ac:dyDescent="0.3">
      <c r="A109" s="1"/>
      <c r="B109" s="1" t="s">
        <v>3</v>
      </c>
      <c r="C109" s="1"/>
      <c r="D109" s="1"/>
      <c r="E109" s="1"/>
      <c r="F109" s="3">
        <f>VLOOKUP("DEL",'[1]Raw Data'!$B$2:$O$102,7,FALSE)</f>
        <v>12</v>
      </c>
      <c r="G109" s="3"/>
      <c r="H109" s="3"/>
      <c r="I109" s="3">
        <f>VLOOKUP("DEL",'[1]Raw Data'!$B$2:$O$102,8,FALSE)</f>
        <v>10</v>
      </c>
      <c r="J109" s="3"/>
      <c r="K109" s="3"/>
      <c r="L109" s="3">
        <f>VLOOKUP("DEL",'[1]Raw Data'!$B$2:$O$102,9,FALSE)</f>
        <v>6</v>
      </c>
      <c r="M109" s="3"/>
      <c r="N109" s="3"/>
      <c r="O109" s="3">
        <f>VLOOKUP("DEL",'[1]Raw Data'!$B$2:$O$102,10,FALSE)</f>
        <v>16</v>
      </c>
    </row>
    <row r="110" spans="1:15" ht="13.5" customHeight="1" x14ac:dyDescent="0.3">
      <c r="A110" s="1"/>
      <c r="B110" s="1" t="s">
        <v>2</v>
      </c>
      <c r="C110" s="1"/>
      <c r="D110" s="1"/>
      <c r="E110" s="1"/>
      <c r="F110" s="3">
        <f>VLOOKUP("DEL",'[1]Raw Data'!$B$2:$O$102,11,FALSE)</f>
        <v>58</v>
      </c>
      <c r="G110" s="3"/>
      <c r="H110" s="3"/>
      <c r="I110" s="3">
        <f>VLOOKUP("DEL",'[1]Raw Data'!$B$2:$O$102,12,FALSE)</f>
        <v>47</v>
      </c>
      <c r="J110" s="3"/>
      <c r="K110" s="3"/>
      <c r="L110" s="3">
        <f>VLOOKUP("DEL",'[1]Raw Data'!$B$2:$O$102,13,FALSE)</f>
        <v>55</v>
      </c>
      <c r="M110" s="3"/>
      <c r="N110" s="3"/>
      <c r="O110" s="3">
        <f>VLOOKUP("DEL",'[1]Raw Data'!$B$2:$O$102,14,FALSE)</f>
        <v>50</v>
      </c>
    </row>
    <row r="111" spans="1:15" ht="12" customHeight="1" x14ac:dyDescent="0.3"/>
    <row r="112" spans="1:15" ht="13.5" customHeight="1" x14ac:dyDescent="0.3">
      <c r="A112" s="1"/>
      <c r="B112" s="1"/>
      <c r="C112" s="5" t="str">
        <f>IF(VLOOKUP("FL, M",'[1]Raw Data'!$B$2:$O$102,2,FALSE)="CDO","FL, M"&amp;" "&amp;CHAR(178),"FL, M")</f>
        <v>FL, M</v>
      </c>
      <c r="D112" s="1"/>
      <c r="F112" s="4">
        <f>SUM(F113:F115)</f>
        <v>1063</v>
      </c>
      <c r="G112" s="4"/>
      <c r="H112" s="4"/>
      <c r="I112" s="4">
        <f>SUM(I113:I115)</f>
        <v>1427</v>
      </c>
      <c r="J112" s="4"/>
      <c r="K112" s="4"/>
      <c r="L112" s="4">
        <f>SUM(L113:L115)</f>
        <v>1707</v>
      </c>
      <c r="M112" s="4"/>
      <c r="N112" s="4"/>
      <c r="O112" s="4">
        <f>SUM(O113:O115)</f>
        <v>783</v>
      </c>
    </row>
    <row r="113" spans="1:15" ht="13.5" customHeight="1" x14ac:dyDescent="0.3">
      <c r="A113" s="1"/>
      <c r="B113" s="1" t="s">
        <v>4</v>
      </c>
      <c r="C113" s="1"/>
      <c r="D113" s="1"/>
      <c r="E113" s="1"/>
      <c r="F113" s="3">
        <f>VLOOKUP("FL, M",'[1]Raw Data'!$B$2:$O$102,3,FALSE)</f>
        <v>375</v>
      </c>
      <c r="G113" s="3"/>
      <c r="H113" s="3"/>
      <c r="I113" s="3">
        <f>VLOOKUP("FL, M",'[1]Raw Data'!$B$2:$O$102,4,FALSE)</f>
        <v>708</v>
      </c>
      <c r="J113" s="3"/>
      <c r="K113" s="3"/>
      <c r="L113" s="3">
        <f>VLOOKUP("FL, M",'[1]Raw Data'!$B$2:$O$102,5,FALSE)</f>
        <v>688</v>
      </c>
      <c r="M113" s="3"/>
      <c r="N113" s="3"/>
      <c r="O113" s="3">
        <f>VLOOKUP("FL, M",'[1]Raw Data'!$B$2:$O$102,6,FALSE)</f>
        <v>395</v>
      </c>
    </row>
    <row r="114" spans="1:15" ht="13.5" customHeight="1" x14ac:dyDescent="0.3">
      <c r="A114" s="1"/>
      <c r="B114" s="1" t="s">
        <v>3</v>
      </c>
      <c r="C114" s="1"/>
      <c r="D114" s="1"/>
      <c r="E114" s="1"/>
      <c r="F114" s="3">
        <f>VLOOKUP("FL, M",'[1]Raw Data'!$B$2:$O$102,7,FALSE)</f>
        <v>208</v>
      </c>
      <c r="G114" s="3"/>
      <c r="H114" s="3"/>
      <c r="I114" s="3">
        <f>VLOOKUP("FL, M",'[1]Raw Data'!$B$2:$O$102,8,FALSE)</f>
        <v>147</v>
      </c>
      <c r="J114" s="3"/>
      <c r="K114" s="3"/>
      <c r="L114" s="3">
        <f>VLOOKUP("FL, M",'[1]Raw Data'!$B$2:$O$102,9,FALSE)</f>
        <v>234</v>
      </c>
      <c r="M114" s="3"/>
      <c r="N114" s="3"/>
      <c r="O114" s="3">
        <f>VLOOKUP("FL, M",'[1]Raw Data'!$B$2:$O$102,10,FALSE)</f>
        <v>122</v>
      </c>
    </row>
    <row r="115" spans="1:15" ht="13.5" customHeight="1" x14ac:dyDescent="0.3">
      <c r="A115" s="1"/>
      <c r="B115" s="1" t="s">
        <v>2</v>
      </c>
      <c r="C115" s="1"/>
      <c r="D115" s="1"/>
      <c r="E115" s="1"/>
      <c r="F115" s="3">
        <f>VLOOKUP("FL, M",'[1]Raw Data'!$B$2:$O$102,11,FALSE)</f>
        <v>480</v>
      </c>
      <c r="G115" s="3"/>
      <c r="H115" s="3"/>
      <c r="I115" s="3">
        <f>VLOOKUP("FL, M",'[1]Raw Data'!$B$2:$O$102,12,FALSE)</f>
        <v>572</v>
      </c>
      <c r="J115" s="3"/>
      <c r="K115" s="3"/>
      <c r="L115" s="3">
        <f>VLOOKUP("FL, M",'[1]Raw Data'!$B$2:$O$102,13,FALSE)</f>
        <v>785</v>
      </c>
      <c r="M115" s="3"/>
      <c r="N115" s="3"/>
      <c r="O115" s="3">
        <f>VLOOKUP("FL, M",'[1]Raw Data'!$B$2:$O$102,14,FALSE)</f>
        <v>266</v>
      </c>
    </row>
    <row r="116" spans="1:15" ht="12" customHeight="1" x14ac:dyDescent="0.3"/>
    <row r="117" spans="1:15" ht="13.5" customHeight="1" x14ac:dyDescent="0.3">
      <c r="A117" s="1"/>
      <c r="B117" s="1"/>
      <c r="C117" s="5" t="str">
        <f>IF(VLOOKUP("FL, N",'[1]Raw Data'!$B$2:$O$102,2,FALSE)="CDO","FL, N"&amp;" "&amp;CHAR(178),"FL, N")</f>
        <v>FL, N</v>
      </c>
      <c r="D117" s="1"/>
      <c r="F117" s="4">
        <f>SUM(F118:F120)</f>
        <v>278</v>
      </c>
      <c r="G117" s="4"/>
      <c r="H117" s="4"/>
      <c r="I117" s="4">
        <f>SUM(I118:I120)</f>
        <v>487</v>
      </c>
      <c r="J117" s="4"/>
      <c r="K117" s="4"/>
      <c r="L117" s="4">
        <f>SUM(L118:L120)</f>
        <v>501</v>
      </c>
      <c r="M117" s="4"/>
      <c r="N117" s="4"/>
      <c r="O117" s="4">
        <f>SUM(O118:O120)</f>
        <v>264</v>
      </c>
    </row>
    <row r="118" spans="1:15" ht="13.5" customHeight="1" x14ac:dyDescent="0.3">
      <c r="A118" s="1"/>
      <c r="B118" s="1" t="s">
        <v>4</v>
      </c>
      <c r="C118" s="1"/>
      <c r="D118" s="1"/>
      <c r="E118" s="1"/>
      <c r="F118" s="3">
        <f>VLOOKUP("FL, N",'[1]Raw Data'!$B$2:$O$102,3,FALSE)</f>
        <v>111</v>
      </c>
      <c r="G118" s="3"/>
      <c r="H118" s="3"/>
      <c r="I118" s="3">
        <f>VLOOKUP("FL, N",'[1]Raw Data'!$B$2:$O$102,4,FALSE)</f>
        <v>195</v>
      </c>
      <c r="J118" s="3"/>
      <c r="K118" s="3"/>
      <c r="L118" s="3">
        <f>VLOOKUP("FL, N",'[1]Raw Data'!$B$2:$O$102,5,FALSE)</f>
        <v>207</v>
      </c>
      <c r="M118" s="3"/>
      <c r="N118" s="3"/>
      <c r="O118" s="3">
        <f>VLOOKUP("FL, N",'[1]Raw Data'!$B$2:$O$102,6,FALSE)</f>
        <v>99</v>
      </c>
    </row>
    <row r="119" spans="1:15" ht="13.5" customHeight="1" x14ac:dyDescent="0.3">
      <c r="A119" s="1"/>
      <c r="B119" s="1" t="s">
        <v>3</v>
      </c>
      <c r="C119" s="1"/>
      <c r="D119" s="1"/>
      <c r="E119" s="1"/>
      <c r="F119" s="3">
        <f>VLOOKUP("FL, N",'[1]Raw Data'!$B$2:$O$102,7,FALSE)</f>
        <v>37</v>
      </c>
      <c r="G119" s="3"/>
      <c r="H119" s="3"/>
      <c r="I119" s="3">
        <f>VLOOKUP("FL, N",'[1]Raw Data'!$B$2:$O$102,8,FALSE)</f>
        <v>62</v>
      </c>
      <c r="J119" s="3"/>
      <c r="K119" s="3"/>
      <c r="L119" s="3">
        <f>VLOOKUP("FL, N",'[1]Raw Data'!$B$2:$O$102,9,FALSE)</f>
        <v>57</v>
      </c>
      <c r="M119" s="3"/>
      <c r="N119" s="3"/>
      <c r="O119" s="3">
        <f>VLOOKUP("FL, N",'[1]Raw Data'!$B$2:$O$102,10,FALSE)</f>
        <v>42</v>
      </c>
    </row>
    <row r="120" spans="1:15" ht="13.5" customHeight="1" x14ac:dyDescent="0.3">
      <c r="A120" s="1"/>
      <c r="B120" s="1" t="s">
        <v>2</v>
      </c>
      <c r="C120" s="1"/>
      <c r="D120" s="1"/>
      <c r="E120" s="1"/>
      <c r="F120" s="3">
        <f>VLOOKUP("FL, N",'[1]Raw Data'!$B$2:$O$102,11,FALSE)</f>
        <v>130</v>
      </c>
      <c r="G120" s="3"/>
      <c r="H120" s="3"/>
      <c r="I120" s="3">
        <f>VLOOKUP("FL, N",'[1]Raw Data'!$B$2:$O$102,12,FALSE)</f>
        <v>230</v>
      </c>
      <c r="J120" s="3"/>
      <c r="K120" s="3"/>
      <c r="L120" s="3">
        <f>VLOOKUP("FL, N",'[1]Raw Data'!$B$2:$O$102,13,FALSE)</f>
        <v>237</v>
      </c>
      <c r="M120" s="3"/>
      <c r="N120" s="3"/>
      <c r="O120" s="3">
        <f>VLOOKUP("FL, N",'[1]Raw Data'!$B$2:$O$102,14,FALSE)</f>
        <v>123</v>
      </c>
    </row>
    <row r="121" spans="1:15" ht="12" customHeight="1" x14ac:dyDescent="0.3"/>
    <row r="122" spans="1:15" ht="13.5" customHeight="1" x14ac:dyDescent="0.3">
      <c r="A122" s="1"/>
      <c r="B122" s="1"/>
      <c r="C122" s="5" t="str">
        <f>IF(VLOOKUP("FL, S",'[1]Raw Data'!$B$2:$O$102,2,FALSE)="CDO","FL, S"&amp;" "&amp;CHAR(178),"FL, S")</f>
        <v>FL, S</v>
      </c>
      <c r="D122" s="1"/>
      <c r="F122" s="4">
        <f>SUM(F123:F125)</f>
        <v>1438</v>
      </c>
      <c r="G122" s="4"/>
      <c r="H122" s="4"/>
      <c r="I122" s="4">
        <f>SUM(I123:I125)</f>
        <v>1801</v>
      </c>
      <c r="J122" s="4"/>
      <c r="K122" s="4"/>
      <c r="L122" s="4">
        <f>SUM(L123:L125)</f>
        <v>2094</v>
      </c>
      <c r="M122" s="4"/>
      <c r="N122" s="4"/>
      <c r="O122" s="4">
        <f>SUM(O123:O125)</f>
        <v>1145</v>
      </c>
    </row>
    <row r="123" spans="1:15" ht="13.5" customHeight="1" x14ac:dyDescent="0.3">
      <c r="A123" s="1"/>
      <c r="B123" s="1" t="s">
        <v>4</v>
      </c>
      <c r="C123" s="1"/>
      <c r="D123" s="1"/>
      <c r="E123" s="1"/>
      <c r="F123" s="3">
        <f>VLOOKUP("FL, S",'[1]Raw Data'!$B$2:$O$102,3,FALSE)</f>
        <v>725</v>
      </c>
      <c r="G123" s="3"/>
      <c r="H123" s="3"/>
      <c r="I123" s="3">
        <f>VLOOKUP("FL, S",'[1]Raw Data'!$B$2:$O$102,4,FALSE)</f>
        <v>989</v>
      </c>
      <c r="J123" s="3"/>
      <c r="K123" s="3"/>
      <c r="L123" s="3">
        <f>VLOOKUP("FL, S",'[1]Raw Data'!$B$2:$O$102,5,FALSE)</f>
        <v>1106</v>
      </c>
      <c r="M123" s="3"/>
      <c r="N123" s="3"/>
      <c r="O123" s="3">
        <f>VLOOKUP("FL, S",'[1]Raw Data'!$B$2:$O$102,6,FALSE)</f>
        <v>608</v>
      </c>
    </row>
    <row r="124" spans="1:15" ht="13.5" customHeight="1" x14ac:dyDescent="0.3">
      <c r="A124" s="1"/>
      <c r="B124" s="1" t="s">
        <v>3</v>
      </c>
      <c r="C124" s="1"/>
      <c r="D124" s="1"/>
      <c r="E124" s="1"/>
      <c r="F124" s="3">
        <f>VLOOKUP("FL, S",'[1]Raw Data'!$B$2:$O$102,7,FALSE)</f>
        <v>221</v>
      </c>
      <c r="G124" s="3"/>
      <c r="H124" s="3"/>
      <c r="I124" s="3">
        <f>VLOOKUP("FL, S",'[1]Raw Data'!$B$2:$O$102,8,FALSE)</f>
        <v>244</v>
      </c>
      <c r="J124" s="3"/>
      <c r="K124" s="3"/>
      <c r="L124" s="3">
        <f>VLOOKUP("FL, S",'[1]Raw Data'!$B$2:$O$102,9,FALSE)</f>
        <v>254</v>
      </c>
      <c r="M124" s="3"/>
      <c r="N124" s="3"/>
      <c r="O124" s="3">
        <f>VLOOKUP("FL, S",'[1]Raw Data'!$B$2:$O$102,10,FALSE)</f>
        <v>211</v>
      </c>
    </row>
    <row r="125" spans="1:15" ht="13.5" customHeight="1" x14ac:dyDescent="0.3">
      <c r="A125" s="1"/>
      <c r="B125" s="1" t="s">
        <v>2</v>
      </c>
      <c r="C125" s="1"/>
      <c r="D125" s="1"/>
      <c r="E125" s="1"/>
      <c r="F125" s="3">
        <f>VLOOKUP("FL, S",'[1]Raw Data'!$B$2:$O$102,11,FALSE)</f>
        <v>492</v>
      </c>
      <c r="G125" s="3"/>
      <c r="H125" s="3"/>
      <c r="I125" s="3">
        <f>VLOOKUP("FL, S",'[1]Raw Data'!$B$2:$O$102,12,FALSE)</f>
        <v>568</v>
      </c>
      <c r="J125" s="3"/>
      <c r="K125" s="3"/>
      <c r="L125" s="3">
        <f>VLOOKUP("FL, S",'[1]Raw Data'!$B$2:$O$102,13,FALSE)</f>
        <v>734</v>
      </c>
      <c r="M125" s="3"/>
      <c r="N125" s="3"/>
      <c r="O125" s="3">
        <f>VLOOKUP("FL, S",'[1]Raw Data'!$B$2:$O$102,14,FALSE)</f>
        <v>326</v>
      </c>
    </row>
    <row r="126" spans="1:15" ht="12" customHeight="1" x14ac:dyDescent="0.3"/>
    <row r="127" spans="1:15" ht="12" customHeight="1" x14ac:dyDescent="0.3"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" customHeight="1" x14ac:dyDescent="0.3">
      <c r="A128" s="7" t="str">
        <f>"Table K-1. (September 30, "&amp;'[1]Raw Data'!$A$2&amp;"—Continued)"</f>
        <v>Table K-1. (September 30, 2022—Continued)</v>
      </c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6" ht="12" customHeight="1" x14ac:dyDescent="0.3"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6" ht="15" customHeight="1" x14ac:dyDescent="0.3">
      <c r="A130" s="11" t="s">
        <v>12</v>
      </c>
      <c r="B130" s="11"/>
      <c r="C130" s="11"/>
      <c r="D130" s="12"/>
      <c r="E130" s="10" t="s">
        <v>10</v>
      </c>
      <c r="F130" s="11"/>
      <c r="G130" s="12"/>
      <c r="H130" s="10" t="s">
        <v>11</v>
      </c>
      <c r="I130" s="11"/>
      <c r="J130" s="12"/>
      <c r="K130" s="10" t="s">
        <v>11</v>
      </c>
      <c r="L130" s="11"/>
      <c r="M130" s="12"/>
      <c r="N130" s="10" t="s">
        <v>10</v>
      </c>
      <c r="O130" s="11"/>
      <c r="P130" s="11"/>
    </row>
    <row r="131" spans="1:16" ht="13.5" customHeight="1" x14ac:dyDescent="0.3">
      <c r="A131" s="14" t="s">
        <v>9</v>
      </c>
      <c r="B131" s="14"/>
      <c r="C131" s="14"/>
      <c r="D131" s="15"/>
      <c r="E131" s="13" t="s">
        <v>8</v>
      </c>
      <c r="F131" s="14"/>
      <c r="G131" s="15"/>
      <c r="H131" s="13" t="s">
        <v>7</v>
      </c>
      <c r="I131" s="14"/>
      <c r="J131" s="15"/>
      <c r="K131" s="13" t="s">
        <v>6</v>
      </c>
      <c r="L131" s="14"/>
      <c r="M131" s="15"/>
      <c r="N131" s="13" t="s">
        <v>5</v>
      </c>
      <c r="O131" s="14"/>
      <c r="P131" s="14"/>
    </row>
    <row r="132" spans="1:16" ht="3.7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3.5" customHeight="1" x14ac:dyDescent="0.3"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6" ht="13.5" customHeight="1" x14ac:dyDescent="0.3">
      <c r="A134" s="1"/>
      <c r="B134" s="1"/>
      <c r="C134" s="5" t="str">
        <f>IF(VLOOKUP("GA, M",'[1]Raw Data'!$B$2:$O$102,2,FALSE)="CDO","GA, M"&amp;" "&amp;CHAR(178),"GA, M")</f>
        <v>GA, M ²</v>
      </c>
      <c r="D134" s="1"/>
      <c r="F134" s="4">
        <f>SUM(F135:F137)</f>
        <v>286</v>
      </c>
      <c r="G134" s="4"/>
      <c r="H134" s="4"/>
      <c r="I134" s="4">
        <f>SUM(I135:I137)</f>
        <v>355</v>
      </c>
      <c r="J134" s="4"/>
      <c r="K134" s="4"/>
      <c r="L134" s="4">
        <f>SUM(L135:L137)</f>
        <v>352</v>
      </c>
      <c r="M134" s="4"/>
      <c r="N134" s="4"/>
      <c r="O134" s="4">
        <f>SUM(O135:O137)</f>
        <v>289</v>
      </c>
    </row>
    <row r="135" spans="1:16" ht="13.5" customHeight="1" x14ac:dyDescent="0.3">
      <c r="A135" s="1"/>
      <c r="B135" s="1" t="s">
        <v>4</v>
      </c>
      <c r="C135" s="1"/>
      <c r="D135" s="1"/>
      <c r="E135" s="1"/>
      <c r="F135" s="3">
        <f>VLOOKUP("GA, M",'[1]Raw Data'!$B$2:$O$102,3,FALSE)</f>
        <v>195</v>
      </c>
      <c r="G135" s="3"/>
      <c r="H135" s="3"/>
      <c r="I135" s="3">
        <f>VLOOKUP("GA, M",'[1]Raw Data'!$B$2:$O$102,4,FALSE)</f>
        <v>191</v>
      </c>
      <c r="J135" s="3"/>
      <c r="K135" s="3"/>
      <c r="L135" s="3">
        <f>VLOOKUP("GA, M",'[1]Raw Data'!$B$2:$O$102,5,FALSE)</f>
        <v>199</v>
      </c>
      <c r="M135" s="3"/>
      <c r="N135" s="3"/>
      <c r="O135" s="3">
        <f>VLOOKUP("GA, M",'[1]Raw Data'!$B$2:$O$102,6,FALSE)</f>
        <v>187</v>
      </c>
    </row>
    <row r="136" spans="1:16" ht="13.5" customHeight="1" x14ac:dyDescent="0.3">
      <c r="A136" s="1"/>
      <c r="B136" s="1" t="s">
        <v>3</v>
      </c>
      <c r="C136" s="1"/>
      <c r="D136" s="1"/>
      <c r="E136" s="1"/>
      <c r="F136" s="3">
        <f>VLOOKUP("GA, M",'[1]Raw Data'!$B$2:$O$102,7,FALSE)</f>
        <v>26</v>
      </c>
      <c r="G136" s="3"/>
      <c r="H136" s="3"/>
      <c r="I136" s="3">
        <f>VLOOKUP("GA, M",'[1]Raw Data'!$B$2:$O$102,8,FALSE)</f>
        <v>62</v>
      </c>
      <c r="J136" s="3"/>
      <c r="K136" s="3"/>
      <c r="L136" s="3">
        <f>VLOOKUP("GA, M",'[1]Raw Data'!$B$2:$O$102,9,FALSE)</f>
        <v>52</v>
      </c>
      <c r="M136" s="3"/>
      <c r="N136" s="3"/>
      <c r="O136" s="3">
        <f>VLOOKUP("GA, M",'[1]Raw Data'!$B$2:$O$102,10,FALSE)</f>
        <v>36</v>
      </c>
    </row>
    <row r="137" spans="1:16" ht="13.5" customHeight="1" x14ac:dyDescent="0.3">
      <c r="A137" s="1"/>
      <c r="B137" s="1" t="s">
        <v>2</v>
      </c>
      <c r="C137" s="1"/>
      <c r="D137" s="1"/>
      <c r="E137" s="1"/>
      <c r="F137" s="3">
        <f>VLOOKUP("GA, M",'[1]Raw Data'!$B$2:$O$102,11,FALSE)</f>
        <v>65</v>
      </c>
      <c r="G137" s="3"/>
      <c r="H137" s="3"/>
      <c r="I137" s="3">
        <f>VLOOKUP("GA, M",'[1]Raw Data'!$B$2:$O$102,12,FALSE)</f>
        <v>102</v>
      </c>
      <c r="J137" s="3"/>
      <c r="K137" s="3"/>
      <c r="L137" s="3">
        <f>VLOOKUP("GA, M",'[1]Raw Data'!$B$2:$O$102,13,FALSE)</f>
        <v>101</v>
      </c>
      <c r="M137" s="3"/>
      <c r="N137" s="3"/>
      <c r="O137" s="3">
        <f>VLOOKUP("GA, M",'[1]Raw Data'!$B$2:$O$102,14,FALSE)</f>
        <v>66</v>
      </c>
    </row>
    <row r="138" spans="1:16" ht="12" customHeight="1" x14ac:dyDescent="0.3"/>
    <row r="139" spans="1:16" ht="13.5" customHeight="1" x14ac:dyDescent="0.3">
      <c r="A139" s="1"/>
      <c r="B139" s="1"/>
      <c r="C139" s="5" t="str">
        <f>IF(VLOOKUP("GA, N",'[1]Raw Data'!$B$2:$O$102,2,FALSE)="CDO","GA, N"&amp;" "&amp;CHAR(178),"GA, N")</f>
        <v>GA, N ²</v>
      </c>
      <c r="D139" s="1"/>
      <c r="F139" s="4">
        <f>SUM(F140:F142)</f>
        <v>658</v>
      </c>
      <c r="G139" s="4"/>
      <c r="H139" s="4"/>
      <c r="I139" s="4">
        <f>SUM(I140:I142)</f>
        <v>1058</v>
      </c>
      <c r="J139" s="4"/>
      <c r="K139" s="4"/>
      <c r="L139" s="4">
        <f>SUM(L140:L142)</f>
        <v>1090</v>
      </c>
      <c r="M139" s="4"/>
      <c r="N139" s="4"/>
      <c r="O139" s="4">
        <f>SUM(O140:O142)</f>
        <v>626</v>
      </c>
    </row>
    <row r="140" spans="1:16" ht="13.5" customHeight="1" x14ac:dyDescent="0.3">
      <c r="A140" s="1"/>
      <c r="B140" s="1" t="s">
        <v>4</v>
      </c>
      <c r="C140" s="1"/>
      <c r="D140" s="1"/>
      <c r="E140" s="1"/>
      <c r="F140" s="3">
        <f>VLOOKUP("GA, N",'[1]Raw Data'!$B$2:$O$102,3,FALSE)</f>
        <v>449</v>
      </c>
      <c r="G140" s="3"/>
      <c r="H140" s="3"/>
      <c r="I140" s="3">
        <f>VLOOKUP("GA, N",'[1]Raw Data'!$B$2:$O$102,4,FALSE)</f>
        <v>678</v>
      </c>
      <c r="J140" s="3"/>
      <c r="K140" s="3"/>
      <c r="L140" s="3">
        <f>VLOOKUP("GA, N",'[1]Raw Data'!$B$2:$O$102,5,FALSE)</f>
        <v>685</v>
      </c>
      <c r="M140" s="3"/>
      <c r="N140" s="3"/>
      <c r="O140" s="3">
        <f>VLOOKUP("GA, N",'[1]Raw Data'!$B$2:$O$102,6,FALSE)</f>
        <v>442</v>
      </c>
    </row>
    <row r="141" spans="1:16" ht="13.5" customHeight="1" x14ac:dyDescent="0.3">
      <c r="A141" s="1"/>
      <c r="B141" s="1" t="s">
        <v>3</v>
      </c>
      <c r="C141" s="1"/>
      <c r="D141" s="1"/>
      <c r="E141" s="1"/>
      <c r="F141" s="3">
        <f>VLOOKUP("GA, N",'[1]Raw Data'!$B$2:$O$102,7,FALSE)</f>
        <v>34</v>
      </c>
      <c r="G141" s="3"/>
      <c r="H141" s="3"/>
      <c r="I141" s="3">
        <f>VLOOKUP("GA, N",'[1]Raw Data'!$B$2:$O$102,8,FALSE)</f>
        <v>38</v>
      </c>
      <c r="J141" s="3"/>
      <c r="K141" s="3"/>
      <c r="L141" s="3">
        <f>VLOOKUP("GA, N",'[1]Raw Data'!$B$2:$O$102,9,FALSE)</f>
        <v>38</v>
      </c>
      <c r="M141" s="3"/>
      <c r="N141" s="3"/>
      <c r="O141" s="3">
        <f>VLOOKUP("GA, N",'[1]Raw Data'!$B$2:$O$102,10,FALSE)</f>
        <v>34</v>
      </c>
    </row>
    <row r="142" spans="1:16" ht="13.5" customHeight="1" x14ac:dyDescent="0.3">
      <c r="A142" s="1"/>
      <c r="B142" s="1" t="s">
        <v>2</v>
      </c>
      <c r="C142" s="1"/>
      <c r="D142" s="1"/>
      <c r="E142" s="1"/>
      <c r="F142" s="3">
        <f>VLOOKUP("GA, N",'[1]Raw Data'!$B$2:$O$102,11,FALSE)</f>
        <v>175</v>
      </c>
      <c r="G142" s="3"/>
      <c r="H142" s="3"/>
      <c r="I142" s="3">
        <f>VLOOKUP("GA, N",'[1]Raw Data'!$B$2:$O$102,12,FALSE)</f>
        <v>342</v>
      </c>
      <c r="J142" s="3"/>
      <c r="K142" s="3"/>
      <c r="L142" s="3">
        <f>VLOOKUP("GA, N",'[1]Raw Data'!$B$2:$O$102,13,FALSE)</f>
        <v>367</v>
      </c>
      <c r="M142" s="3"/>
      <c r="N142" s="3"/>
      <c r="O142" s="3">
        <f>VLOOKUP("GA, N",'[1]Raw Data'!$B$2:$O$102,14,FALSE)</f>
        <v>150</v>
      </c>
    </row>
    <row r="143" spans="1:16" ht="12" customHeight="1" x14ac:dyDescent="0.3"/>
    <row r="144" spans="1:16" ht="13.5" customHeight="1" x14ac:dyDescent="0.3">
      <c r="A144" s="1"/>
      <c r="B144" s="1"/>
      <c r="C144" s="5" t="str">
        <f>IF(VLOOKUP("GU",'[1]Raw Data'!$B$2:$O$102,2,FALSE)="CDO","GU"&amp;" "&amp;CHAR(178),"GU")</f>
        <v>GU</v>
      </c>
      <c r="D144" s="1"/>
      <c r="F144" s="4">
        <f>SUM(F145:F147)</f>
        <v>84</v>
      </c>
      <c r="G144" s="4"/>
      <c r="H144" s="4"/>
      <c r="I144" s="4">
        <f>SUM(I145:I147)</f>
        <v>76</v>
      </c>
      <c r="J144" s="4"/>
      <c r="K144" s="4"/>
      <c r="L144" s="4">
        <f>SUM(L145:L147)</f>
        <v>100</v>
      </c>
      <c r="M144" s="4"/>
      <c r="N144" s="4"/>
      <c r="O144" s="4">
        <f>SUM(O145:O147)</f>
        <v>60</v>
      </c>
    </row>
    <row r="145" spans="1:15" ht="13.5" customHeight="1" x14ac:dyDescent="0.3">
      <c r="A145" s="1"/>
      <c r="B145" s="1" t="s">
        <v>4</v>
      </c>
      <c r="C145" s="1"/>
      <c r="D145" s="1"/>
      <c r="E145" s="1"/>
      <c r="F145" s="3">
        <f>VLOOKUP("GU",'[1]Raw Data'!$B$2:$O$102,3,FALSE)</f>
        <v>40</v>
      </c>
      <c r="G145" s="3"/>
      <c r="H145" s="3"/>
      <c r="I145" s="3">
        <f>VLOOKUP("GU",'[1]Raw Data'!$B$2:$O$102,4,FALSE)</f>
        <v>33</v>
      </c>
      <c r="J145" s="3"/>
      <c r="K145" s="3"/>
      <c r="L145" s="3">
        <f>VLOOKUP("GU",'[1]Raw Data'!$B$2:$O$102,5,FALSE)</f>
        <v>48</v>
      </c>
      <c r="M145" s="3"/>
      <c r="N145" s="3"/>
      <c r="O145" s="3">
        <f>VLOOKUP("GU",'[1]Raw Data'!$B$2:$O$102,6,FALSE)</f>
        <v>25</v>
      </c>
    </row>
    <row r="146" spans="1:15" ht="13.5" customHeight="1" x14ac:dyDescent="0.3">
      <c r="A146" s="1"/>
      <c r="B146" s="1" t="s">
        <v>3</v>
      </c>
      <c r="C146" s="1"/>
      <c r="D146" s="1"/>
      <c r="E146" s="1"/>
      <c r="F146" s="3">
        <f>VLOOKUP("GU",'[1]Raw Data'!$B$2:$O$102,7,FALSE)</f>
        <v>2</v>
      </c>
      <c r="G146" s="3"/>
      <c r="H146" s="3"/>
      <c r="I146" s="3">
        <f>VLOOKUP("GU",'[1]Raw Data'!$B$2:$O$102,8,FALSE)</f>
        <v>1</v>
      </c>
      <c r="J146" s="3"/>
      <c r="K146" s="3"/>
      <c r="L146" s="3">
        <f>VLOOKUP("GU",'[1]Raw Data'!$B$2:$O$102,9,FALSE)</f>
        <v>3</v>
      </c>
      <c r="M146" s="3"/>
      <c r="N146" s="3"/>
      <c r="O146" s="3">
        <f>VLOOKUP("GU",'[1]Raw Data'!$B$2:$O$102,10,FALSE)</f>
        <v>0</v>
      </c>
    </row>
    <row r="147" spans="1:15" ht="13.5" customHeight="1" x14ac:dyDescent="0.3">
      <c r="A147" s="1"/>
      <c r="B147" s="1" t="s">
        <v>2</v>
      </c>
      <c r="C147" s="1"/>
      <c r="D147" s="1"/>
      <c r="E147" s="1"/>
      <c r="F147" s="3">
        <f>VLOOKUP("GU",'[1]Raw Data'!$B$2:$O$102,11,FALSE)</f>
        <v>42</v>
      </c>
      <c r="G147" s="3"/>
      <c r="H147" s="3"/>
      <c r="I147" s="3">
        <f>VLOOKUP("GU",'[1]Raw Data'!$B$2:$O$102,12,FALSE)</f>
        <v>42</v>
      </c>
      <c r="J147" s="3"/>
      <c r="K147" s="3"/>
      <c r="L147" s="3">
        <f>VLOOKUP("GU",'[1]Raw Data'!$B$2:$O$102,13,FALSE)</f>
        <v>49</v>
      </c>
      <c r="M147" s="3"/>
      <c r="N147" s="3"/>
      <c r="O147" s="3">
        <f>VLOOKUP("GU",'[1]Raw Data'!$B$2:$O$102,14,FALSE)</f>
        <v>35</v>
      </c>
    </row>
    <row r="148" spans="1:15" ht="12" customHeight="1" x14ac:dyDescent="0.3"/>
    <row r="149" spans="1:15" ht="13.5" customHeight="1" x14ac:dyDescent="0.3">
      <c r="A149" s="1"/>
      <c r="B149" s="1"/>
      <c r="C149" s="5" t="str">
        <f>IF(VLOOKUP("HI",'[1]Raw Data'!$B$2:$O$102,2,FALSE)="CDO","HI"&amp;" "&amp;CHAR(178),"HI")</f>
        <v>HI</v>
      </c>
      <c r="D149" s="1"/>
      <c r="F149" s="4">
        <f>SUM(F150:F152)</f>
        <v>177</v>
      </c>
      <c r="G149" s="4"/>
      <c r="H149" s="4"/>
      <c r="I149" s="4">
        <f>SUM(I150:I152)</f>
        <v>402</v>
      </c>
      <c r="J149" s="4"/>
      <c r="K149" s="4"/>
      <c r="L149" s="4">
        <f>SUM(L150:L152)</f>
        <v>389</v>
      </c>
      <c r="M149" s="4"/>
      <c r="N149" s="4"/>
      <c r="O149" s="4">
        <f>SUM(O150:O152)</f>
        <v>190</v>
      </c>
    </row>
    <row r="150" spans="1:15" ht="13.5" customHeight="1" x14ac:dyDescent="0.3">
      <c r="A150" s="1"/>
      <c r="B150" s="1" t="s">
        <v>4</v>
      </c>
      <c r="C150" s="1"/>
      <c r="D150" s="1"/>
      <c r="E150" s="1"/>
      <c r="F150" s="3">
        <f>VLOOKUP("HI",'[1]Raw Data'!$B$2:$O$102,3,FALSE)</f>
        <v>74</v>
      </c>
      <c r="G150" s="3"/>
      <c r="H150" s="3"/>
      <c r="I150" s="3">
        <f>VLOOKUP("HI",'[1]Raw Data'!$B$2:$O$102,4,FALSE)</f>
        <v>231</v>
      </c>
      <c r="J150" s="3"/>
      <c r="K150" s="3"/>
      <c r="L150" s="3">
        <f>VLOOKUP("HI",'[1]Raw Data'!$B$2:$O$102,5,FALSE)</f>
        <v>205</v>
      </c>
      <c r="M150" s="3"/>
      <c r="N150" s="3"/>
      <c r="O150" s="3">
        <f>VLOOKUP("HI",'[1]Raw Data'!$B$2:$O$102,6,FALSE)</f>
        <v>100</v>
      </c>
    </row>
    <row r="151" spans="1:15" ht="13.5" customHeight="1" x14ac:dyDescent="0.3">
      <c r="A151" s="1"/>
      <c r="B151" s="1" t="s">
        <v>3</v>
      </c>
      <c r="C151" s="1"/>
      <c r="D151" s="1"/>
      <c r="E151" s="1"/>
      <c r="F151" s="3">
        <f>VLOOKUP("HI",'[1]Raw Data'!$B$2:$O$102,7,FALSE)</f>
        <v>22</v>
      </c>
      <c r="G151" s="3"/>
      <c r="H151" s="3"/>
      <c r="I151" s="3">
        <f>VLOOKUP("HI",'[1]Raw Data'!$B$2:$O$102,8,FALSE)</f>
        <v>23</v>
      </c>
      <c r="J151" s="3"/>
      <c r="K151" s="3"/>
      <c r="L151" s="3">
        <f>VLOOKUP("HI",'[1]Raw Data'!$B$2:$O$102,9,FALSE)</f>
        <v>36</v>
      </c>
      <c r="M151" s="3"/>
      <c r="N151" s="3"/>
      <c r="O151" s="3">
        <f>VLOOKUP("HI",'[1]Raw Data'!$B$2:$O$102,10,FALSE)</f>
        <v>9</v>
      </c>
    </row>
    <row r="152" spans="1:15" ht="13.5" customHeight="1" x14ac:dyDescent="0.3">
      <c r="A152" s="1"/>
      <c r="B152" s="1" t="s">
        <v>2</v>
      </c>
      <c r="C152" s="1"/>
      <c r="D152" s="1"/>
      <c r="E152" s="1"/>
      <c r="F152" s="3">
        <f>VLOOKUP("HI",'[1]Raw Data'!$B$2:$O$102,11,FALSE)</f>
        <v>81</v>
      </c>
      <c r="G152" s="3"/>
      <c r="H152" s="3"/>
      <c r="I152" s="3">
        <f>VLOOKUP("HI",'[1]Raw Data'!$B$2:$O$102,12,FALSE)</f>
        <v>148</v>
      </c>
      <c r="J152" s="3"/>
      <c r="K152" s="3"/>
      <c r="L152" s="3">
        <f>VLOOKUP("HI",'[1]Raw Data'!$B$2:$O$102,13,FALSE)</f>
        <v>148</v>
      </c>
      <c r="M152" s="3"/>
      <c r="N152" s="3"/>
      <c r="O152" s="3">
        <f>VLOOKUP("HI",'[1]Raw Data'!$B$2:$O$102,14,FALSE)</f>
        <v>81</v>
      </c>
    </row>
    <row r="153" spans="1:15" ht="12" customHeight="1" x14ac:dyDescent="0.3"/>
    <row r="154" spans="1:15" ht="13.5" customHeight="1" x14ac:dyDescent="0.3">
      <c r="A154" s="1"/>
      <c r="B154" s="1"/>
      <c r="C154" s="5" t="str">
        <f>IF(VLOOKUP("TOT: IA, N/S",'[1]Raw Data'!$B$2:$O$102,2,FALSE)="CDO","TOT: IA, N/S"&amp;" "&amp;CHAR(178),"TOT: IA, N/S")</f>
        <v>TOT: IA, N/S</v>
      </c>
      <c r="D154" s="1"/>
      <c r="F154" s="4">
        <f>IF(SUM(F155:F157)-SUM(F159,F164)=0,SUM(F155:F157),"ERROR")</f>
        <v>436</v>
      </c>
      <c r="G154" s="4"/>
      <c r="H154" s="4"/>
      <c r="I154" s="4">
        <f>IF(SUM(I155:I157)-SUM(I159,I164)=0,SUM(I155:I157),"ERROR")</f>
        <v>830</v>
      </c>
      <c r="J154" s="4"/>
      <c r="K154" s="4"/>
      <c r="L154" s="4">
        <f>IF(SUM(L155:L157)-SUM(L159,L164)=0,SUM(L155:L157),"ERROR")</f>
        <v>848</v>
      </c>
      <c r="M154" s="4"/>
      <c r="N154" s="4"/>
      <c r="O154" s="4">
        <f>IF(SUM(O155:O157)-SUM(O159,O164)=0,SUM(O155:O157),"ERROR")</f>
        <v>418</v>
      </c>
    </row>
    <row r="155" spans="1:15" ht="13.5" customHeight="1" x14ac:dyDescent="0.3">
      <c r="A155" s="1"/>
      <c r="B155" s="1" t="s">
        <v>4</v>
      </c>
      <c r="C155" s="1"/>
      <c r="D155" s="1"/>
      <c r="E155" s="1"/>
      <c r="F155" s="3">
        <f>VLOOKUP("TOT: IA, N/S",'[1]Raw Data'!$B$2:$O$102,3,FALSE)</f>
        <v>297</v>
      </c>
      <c r="G155" s="3"/>
      <c r="H155" s="3"/>
      <c r="I155" s="3">
        <f>VLOOKUP("TOT: IA, N/S",'[1]Raw Data'!$B$2:$O$102,4,FALSE)</f>
        <v>439</v>
      </c>
      <c r="J155" s="3"/>
      <c r="K155" s="3"/>
      <c r="L155" s="3">
        <f>VLOOKUP("TOT: IA, N/S",'[1]Raw Data'!$B$2:$O$102,5,FALSE)</f>
        <v>466</v>
      </c>
      <c r="M155" s="3"/>
      <c r="N155" s="3"/>
      <c r="O155" s="3">
        <f>VLOOKUP("TOT: IA, N/S",'[1]Raw Data'!$B$2:$O$102,6,FALSE)</f>
        <v>270</v>
      </c>
    </row>
    <row r="156" spans="1:15" ht="13.5" customHeight="1" x14ac:dyDescent="0.3">
      <c r="A156" s="1"/>
      <c r="B156" s="1" t="s">
        <v>3</v>
      </c>
      <c r="C156" s="1"/>
      <c r="D156" s="1"/>
      <c r="E156" s="1"/>
      <c r="F156" s="3">
        <f>VLOOKUP("TOT: IA, N/S",'[1]Raw Data'!$B$2:$O$102,7,FALSE)</f>
        <v>78</v>
      </c>
      <c r="G156" s="3"/>
      <c r="H156" s="3"/>
      <c r="I156" s="3">
        <f>VLOOKUP("TOT: IA, N/S",'[1]Raw Data'!$B$2:$O$102,8,FALSE)</f>
        <v>128</v>
      </c>
      <c r="J156" s="3"/>
      <c r="K156" s="3"/>
      <c r="L156" s="3">
        <f>VLOOKUP("TOT: IA, N/S",'[1]Raw Data'!$B$2:$O$102,9,FALSE)</f>
        <v>131</v>
      </c>
      <c r="M156" s="3"/>
      <c r="N156" s="3"/>
      <c r="O156" s="3">
        <f>VLOOKUP("TOT: IA, N/S",'[1]Raw Data'!$B$2:$O$102,10,FALSE)</f>
        <v>75</v>
      </c>
    </row>
    <row r="157" spans="1:15" ht="13.5" customHeight="1" x14ac:dyDescent="0.3">
      <c r="A157" s="1"/>
      <c r="B157" s="1" t="s">
        <v>2</v>
      </c>
      <c r="C157" s="1"/>
      <c r="D157" s="1"/>
      <c r="E157" s="1"/>
      <c r="F157" s="3">
        <f>VLOOKUP("TOT: IA, N/S",'[1]Raw Data'!$B$2:$O$102,11,FALSE)</f>
        <v>61</v>
      </c>
      <c r="G157" s="3"/>
      <c r="H157" s="3"/>
      <c r="I157" s="3">
        <f>VLOOKUP("TOT: IA, N/S",'[1]Raw Data'!$B$2:$O$102,12,FALSE)</f>
        <v>263</v>
      </c>
      <c r="J157" s="3"/>
      <c r="K157" s="3"/>
      <c r="L157" s="3">
        <f>VLOOKUP("TOT: IA, N/S",'[1]Raw Data'!$B$2:$O$102,13,FALSE)</f>
        <v>251</v>
      </c>
      <c r="M157" s="3"/>
      <c r="N157" s="3"/>
      <c r="O157" s="3">
        <f>VLOOKUP("TOT: IA, N/S",'[1]Raw Data'!$B$2:$O$102,14,FALSE)</f>
        <v>73</v>
      </c>
    </row>
    <row r="158" spans="1:15" ht="12" customHeight="1" x14ac:dyDescent="0.3"/>
    <row r="159" spans="1:15" ht="13.5" customHeight="1" x14ac:dyDescent="0.3">
      <c r="A159" s="1"/>
      <c r="B159" s="1"/>
      <c r="C159" s="5" t="str">
        <f>IF(VLOOKUP("   IA, N",'[1]Raw Data'!$B$2:$O$102,2,FALSE)="CDO","IA, N"&amp;" "&amp;CHAR(178),"IA, N")</f>
        <v>IA, N</v>
      </c>
      <c r="D159" s="1"/>
      <c r="F159" s="4">
        <f>SUM(F160:F162)</f>
        <v>195</v>
      </c>
      <c r="G159" s="4"/>
      <c r="H159" s="4"/>
      <c r="I159" s="4">
        <f>SUM(I160:I162)</f>
        <v>368</v>
      </c>
      <c r="J159" s="4"/>
      <c r="K159" s="4"/>
      <c r="L159" s="4">
        <f>SUM(L160:L162)</f>
        <v>362</v>
      </c>
      <c r="M159" s="4"/>
      <c r="N159" s="4"/>
      <c r="O159" s="4">
        <f>SUM(O160:O162)</f>
        <v>201</v>
      </c>
    </row>
    <row r="160" spans="1:15" ht="13.5" customHeight="1" x14ac:dyDescent="0.3">
      <c r="A160" s="1"/>
      <c r="B160" s="1" t="s">
        <v>4</v>
      </c>
      <c r="C160" s="1"/>
      <c r="D160" s="1"/>
      <c r="E160" s="1"/>
      <c r="F160" s="3">
        <f>VLOOKUP("   IA, N",'[1]Raw Data'!$B$2:$O$102,3,FALSE)</f>
        <v>135</v>
      </c>
      <c r="G160" s="3"/>
      <c r="H160" s="3"/>
      <c r="I160" s="3">
        <f>VLOOKUP("   IA, N",'[1]Raw Data'!$B$2:$O$102,4,FALSE)</f>
        <v>216</v>
      </c>
      <c r="J160" s="3"/>
      <c r="K160" s="3"/>
      <c r="L160" s="3">
        <f>VLOOKUP("   IA, N",'[1]Raw Data'!$B$2:$O$102,5,FALSE)</f>
        <v>215</v>
      </c>
      <c r="M160" s="3"/>
      <c r="N160" s="3"/>
      <c r="O160" s="3">
        <f>VLOOKUP("   IA, N",'[1]Raw Data'!$B$2:$O$102,6,FALSE)</f>
        <v>136</v>
      </c>
    </row>
    <row r="161" spans="1:16" ht="13.5" customHeight="1" x14ac:dyDescent="0.3">
      <c r="A161" s="1"/>
      <c r="B161" s="1" t="s">
        <v>3</v>
      </c>
      <c r="C161" s="1"/>
      <c r="D161" s="1"/>
      <c r="E161" s="1"/>
      <c r="F161" s="3">
        <f>VLOOKUP("   IA, N",'[1]Raw Data'!$B$2:$O$102,7,FALSE)</f>
        <v>27</v>
      </c>
      <c r="G161" s="3"/>
      <c r="H161" s="3"/>
      <c r="I161" s="3">
        <f>VLOOKUP("   IA, N",'[1]Raw Data'!$B$2:$O$102,8,FALSE)</f>
        <v>44</v>
      </c>
      <c r="J161" s="3"/>
      <c r="K161" s="3"/>
      <c r="L161" s="3">
        <f>VLOOKUP("   IA, N",'[1]Raw Data'!$B$2:$O$102,9,FALSE)</f>
        <v>46</v>
      </c>
      <c r="M161" s="3"/>
      <c r="N161" s="3"/>
      <c r="O161" s="3">
        <f>VLOOKUP("   IA, N",'[1]Raw Data'!$B$2:$O$102,10,FALSE)</f>
        <v>25</v>
      </c>
    </row>
    <row r="162" spans="1:16" ht="13.5" customHeight="1" x14ac:dyDescent="0.3">
      <c r="A162" s="1"/>
      <c r="B162" s="1" t="s">
        <v>2</v>
      </c>
      <c r="C162" s="1"/>
      <c r="D162" s="1"/>
      <c r="E162" s="1"/>
      <c r="F162" s="3">
        <f>VLOOKUP("   IA, N",'[1]Raw Data'!$B$2:$O$102,11,FALSE)</f>
        <v>33</v>
      </c>
      <c r="G162" s="3"/>
      <c r="H162" s="3"/>
      <c r="I162" s="3">
        <f>VLOOKUP("   IA, N",'[1]Raw Data'!$B$2:$O$102,12,FALSE)</f>
        <v>108</v>
      </c>
      <c r="J162" s="3"/>
      <c r="K162" s="3"/>
      <c r="L162" s="3">
        <f>VLOOKUP("   IA, N",'[1]Raw Data'!$B$2:$O$102,13,FALSE)</f>
        <v>101</v>
      </c>
      <c r="M162" s="3"/>
      <c r="N162" s="3"/>
      <c r="O162" s="3">
        <f>VLOOKUP("   IA, N",'[1]Raw Data'!$B$2:$O$102,14,FALSE)</f>
        <v>40</v>
      </c>
    </row>
    <row r="163" spans="1:16" ht="12" customHeight="1" x14ac:dyDescent="0.3"/>
    <row r="164" spans="1:16" ht="13.5" customHeight="1" x14ac:dyDescent="0.3">
      <c r="A164" s="1"/>
      <c r="B164" s="1"/>
      <c r="C164" s="5" t="str">
        <f>IF(VLOOKUP("   IA, S",'[1]Raw Data'!$B$2:$O$102,2,FALSE)="CDO","IA, S"&amp;" "&amp;CHAR(178),"IA, S")</f>
        <v>IA, S</v>
      </c>
      <c r="D164" s="1"/>
      <c r="F164" s="4">
        <f>SUM(F165:F167)</f>
        <v>241</v>
      </c>
      <c r="G164" s="4"/>
      <c r="H164" s="4"/>
      <c r="I164" s="4">
        <f>SUM(I165:I167)</f>
        <v>462</v>
      </c>
      <c r="J164" s="4"/>
      <c r="K164" s="4"/>
      <c r="L164" s="4">
        <f>SUM(L165:L167)</f>
        <v>486</v>
      </c>
      <c r="M164" s="4"/>
      <c r="N164" s="4"/>
      <c r="O164" s="4">
        <f>SUM(O165:O167)</f>
        <v>217</v>
      </c>
    </row>
    <row r="165" spans="1:16" ht="13.5" customHeight="1" x14ac:dyDescent="0.3">
      <c r="A165" s="1"/>
      <c r="B165" s="1" t="s">
        <v>4</v>
      </c>
      <c r="C165" s="1"/>
      <c r="D165" s="1"/>
      <c r="E165" s="1"/>
      <c r="F165" s="3">
        <f>VLOOKUP("   IA, S",'[1]Raw Data'!$B$2:$O$102,3,FALSE)</f>
        <v>162</v>
      </c>
      <c r="G165" s="3"/>
      <c r="H165" s="3"/>
      <c r="I165" s="3">
        <f>VLOOKUP("   IA, S",'[1]Raw Data'!$B$2:$O$102,4,FALSE)</f>
        <v>223</v>
      </c>
      <c r="J165" s="3"/>
      <c r="K165" s="3"/>
      <c r="L165" s="3">
        <f>VLOOKUP("   IA, S",'[1]Raw Data'!$B$2:$O$102,5,FALSE)</f>
        <v>251</v>
      </c>
      <c r="M165" s="3"/>
      <c r="N165" s="3"/>
      <c r="O165" s="3">
        <f>VLOOKUP("   IA, S",'[1]Raw Data'!$B$2:$O$102,6,FALSE)</f>
        <v>134</v>
      </c>
    </row>
    <row r="166" spans="1:16" ht="13.5" customHeight="1" x14ac:dyDescent="0.3">
      <c r="A166" s="1"/>
      <c r="B166" s="1" t="s">
        <v>3</v>
      </c>
      <c r="C166" s="1"/>
      <c r="D166" s="1"/>
      <c r="E166" s="1"/>
      <c r="F166" s="3">
        <f>VLOOKUP("   IA, S",'[1]Raw Data'!$B$2:$O$102,7,FALSE)</f>
        <v>51</v>
      </c>
      <c r="G166" s="3"/>
      <c r="H166" s="3"/>
      <c r="I166" s="3">
        <f>VLOOKUP("   IA, S",'[1]Raw Data'!$B$2:$O$102,8,FALSE)</f>
        <v>84</v>
      </c>
      <c r="J166" s="3"/>
      <c r="K166" s="3"/>
      <c r="L166" s="3">
        <f>VLOOKUP("   IA, S",'[1]Raw Data'!$B$2:$O$102,9,FALSE)</f>
        <v>85</v>
      </c>
      <c r="M166" s="3"/>
      <c r="N166" s="3"/>
      <c r="O166" s="3">
        <f>VLOOKUP("   IA, S",'[1]Raw Data'!$B$2:$O$102,10,FALSE)</f>
        <v>50</v>
      </c>
    </row>
    <row r="167" spans="1:16" ht="13.5" customHeight="1" x14ac:dyDescent="0.3">
      <c r="A167" s="1"/>
      <c r="B167" s="1" t="s">
        <v>2</v>
      </c>
      <c r="C167" s="1"/>
      <c r="D167" s="1"/>
      <c r="E167" s="1"/>
      <c r="F167" s="3">
        <f>VLOOKUP("   IA, S",'[1]Raw Data'!$B$2:$O$102,11,FALSE)</f>
        <v>28</v>
      </c>
      <c r="G167" s="3"/>
      <c r="H167" s="3"/>
      <c r="I167" s="3">
        <f>VLOOKUP("   IA, S",'[1]Raw Data'!$B$2:$O$102,12,FALSE)</f>
        <v>155</v>
      </c>
      <c r="J167" s="3"/>
      <c r="K167" s="3"/>
      <c r="L167" s="3">
        <f>VLOOKUP("   IA, S",'[1]Raw Data'!$B$2:$O$102,13,FALSE)</f>
        <v>150</v>
      </c>
      <c r="M167" s="3"/>
      <c r="N167" s="3"/>
      <c r="O167" s="3">
        <f>VLOOKUP("   IA, S",'[1]Raw Data'!$B$2:$O$102,14,FALSE)</f>
        <v>33</v>
      </c>
    </row>
    <row r="168" spans="1:16" ht="12" customHeight="1" x14ac:dyDescent="0.3"/>
    <row r="169" spans="1:16" ht="12" customHeight="1" x14ac:dyDescent="0.3"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6" ht="15" customHeight="1" x14ac:dyDescent="0.3">
      <c r="A170" s="7" t="str">
        <f>"Table K-1. (September 30, "&amp;'[1]Raw Data'!$A$2&amp;"—Continued)"</f>
        <v>Table K-1. (September 30, 2022—Continued)</v>
      </c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6" ht="12" customHeight="1" x14ac:dyDescent="0.3"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6" ht="15" customHeight="1" x14ac:dyDescent="0.3">
      <c r="A172" s="11" t="s">
        <v>12</v>
      </c>
      <c r="B172" s="11"/>
      <c r="C172" s="11"/>
      <c r="D172" s="12"/>
      <c r="E172" s="10" t="s">
        <v>10</v>
      </c>
      <c r="F172" s="11"/>
      <c r="G172" s="12"/>
      <c r="H172" s="10" t="s">
        <v>11</v>
      </c>
      <c r="I172" s="11"/>
      <c r="J172" s="12"/>
      <c r="K172" s="10" t="s">
        <v>11</v>
      </c>
      <c r="L172" s="11"/>
      <c r="M172" s="12"/>
      <c r="N172" s="10" t="s">
        <v>10</v>
      </c>
      <c r="O172" s="11"/>
      <c r="P172" s="11"/>
    </row>
    <row r="173" spans="1:16" ht="13.5" customHeight="1" x14ac:dyDescent="0.3">
      <c r="A173" s="14" t="s">
        <v>9</v>
      </c>
      <c r="B173" s="14"/>
      <c r="C173" s="14"/>
      <c r="D173" s="15"/>
      <c r="E173" s="13" t="s">
        <v>8</v>
      </c>
      <c r="F173" s="14"/>
      <c r="G173" s="15"/>
      <c r="H173" s="13" t="s">
        <v>7</v>
      </c>
      <c r="I173" s="14"/>
      <c r="J173" s="15"/>
      <c r="K173" s="13" t="s">
        <v>6</v>
      </c>
      <c r="L173" s="14"/>
      <c r="M173" s="15"/>
      <c r="N173" s="13" t="s">
        <v>5</v>
      </c>
      <c r="O173" s="14"/>
      <c r="P173" s="14"/>
    </row>
    <row r="174" spans="1:16" ht="3.7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3.5" customHeight="1" x14ac:dyDescent="0.3"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6" ht="13.5" customHeight="1" x14ac:dyDescent="0.3">
      <c r="A176" s="1"/>
      <c r="B176" s="1"/>
      <c r="C176" s="5" t="str">
        <f>IF(VLOOKUP("ID",'[1]Raw Data'!$B$2:$O$102,2,FALSE)="CDO","ID"&amp;" "&amp;CHAR(178),"ID")</f>
        <v>ID ²</v>
      </c>
      <c r="D176" s="1"/>
      <c r="F176" s="4">
        <f>SUM(F177:F179)</f>
        <v>275</v>
      </c>
      <c r="G176" s="4"/>
      <c r="H176" s="4"/>
      <c r="I176" s="4">
        <f>SUM(I177:I179)</f>
        <v>325</v>
      </c>
      <c r="J176" s="4"/>
      <c r="K176" s="4"/>
      <c r="L176" s="4">
        <f>SUM(L177:L179)</f>
        <v>385</v>
      </c>
      <c r="M176" s="4"/>
      <c r="N176" s="4"/>
      <c r="O176" s="4">
        <f>SUM(O177:O179)</f>
        <v>215</v>
      </c>
    </row>
    <row r="177" spans="1:15" ht="13.5" customHeight="1" x14ac:dyDescent="0.3">
      <c r="A177" s="1"/>
      <c r="B177" s="1" t="s">
        <v>4</v>
      </c>
      <c r="C177" s="1"/>
      <c r="D177" s="1"/>
      <c r="E177" s="1"/>
      <c r="F177" s="3">
        <f>VLOOKUP("ID",'[1]Raw Data'!$B$2:$O$102,3,FALSE)</f>
        <v>172</v>
      </c>
      <c r="G177" s="3"/>
      <c r="H177" s="3"/>
      <c r="I177" s="3">
        <f>VLOOKUP("ID",'[1]Raw Data'!$B$2:$O$102,4,FALSE)</f>
        <v>176</v>
      </c>
      <c r="J177" s="3"/>
      <c r="K177" s="3"/>
      <c r="L177" s="3">
        <f>VLOOKUP("ID",'[1]Raw Data'!$B$2:$O$102,5,FALSE)</f>
        <v>235</v>
      </c>
      <c r="M177" s="3"/>
      <c r="N177" s="3"/>
      <c r="O177" s="3">
        <f>VLOOKUP("ID",'[1]Raw Data'!$B$2:$O$102,6,FALSE)</f>
        <v>113</v>
      </c>
    </row>
    <row r="178" spans="1:15" ht="13.5" customHeight="1" x14ac:dyDescent="0.3">
      <c r="A178" s="1"/>
      <c r="B178" s="1" t="s">
        <v>3</v>
      </c>
      <c r="C178" s="1"/>
      <c r="D178" s="1"/>
      <c r="E178" s="1"/>
      <c r="F178" s="3">
        <f>VLOOKUP("ID",'[1]Raw Data'!$B$2:$O$102,7,FALSE)</f>
        <v>7</v>
      </c>
      <c r="G178" s="3"/>
      <c r="H178" s="3"/>
      <c r="I178" s="3">
        <f>VLOOKUP("ID",'[1]Raw Data'!$B$2:$O$102,8,FALSE)</f>
        <v>7</v>
      </c>
      <c r="J178" s="3"/>
      <c r="K178" s="3"/>
      <c r="L178" s="3">
        <f>VLOOKUP("ID",'[1]Raw Data'!$B$2:$O$102,9,FALSE)</f>
        <v>8</v>
      </c>
      <c r="M178" s="3"/>
      <c r="N178" s="3"/>
      <c r="O178" s="3">
        <f>VLOOKUP("ID",'[1]Raw Data'!$B$2:$O$102,10,FALSE)</f>
        <v>6</v>
      </c>
    </row>
    <row r="179" spans="1:15" ht="13.5" customHeight="1" x14ac:dyDescent="0.3">
      <c r="A179" s="1"/>
      <c r="B179" s="1" t="s">
        <v>2</v>
      </c>
      <c r="C179" s="1"/>
      <c r="D179" s="1"/>
      <c r="E179" s="1"/>
      <c r="F179" s="3">
        <f>VLOOKUP("ID",'[1]Raw Data'!$B$2:$O$102,11,FALSE)</f>
        <v>96</v>
      </c>
      <c r="G179" s="3"/>
      <c r="H179" s="3"/>
      <c r="I179" s="3">
        <f>VLOOKUP("ID",'[1]Raw Data'!$B$2:$O$102,12,FALSE)</f>
        <v>142</v>
      </c>
      <c r="J179" s="3"/>
      <c r="K179" s="3"/>
      <c r="L179" s="3">
        <f>VLOOKUP("ID",'[1]Raw Data'!$B$2:$O$102,13,FALSE)</f>
        <v>142</v>
      </c>
      <c r="M179" s="3"/>
      <c r="N179" s="3"/>
      <c r="O179" s="3">
        <f>VLOOKUP("ID",'[1]Raw Data'!$B$2:$O$102,14,FALSE)</f>
        <v>96</v>
      </c>
    </row>
    <row r="180" spans="1:15" ht="12" customHeight="1" x14ac:dyDescent="0.3"/>
    <row r="181" spans="1:15" ht="13.5" customHeight="1" x14ac:dyDescent="0.3">
      <c r="A181" s="1"/>
      <c r="B181" s="1"/>
      <c r="C181" s="5" t="str">
        <f>IF(VLOOKUP("IL, C",'[1]Raw Data'!$B$2:$O$102,2,FALSE)="CDO","IL, C"&amp;" "&amp;CHAR(178),"IL, C")</f>
        <v>IL, C</v>
      </c>
      <c r="D181" s="1"/>
      <c r="F181" s="4">
        <f>SUM(F182:F184)</f>
        <v>407</v>
      </c>
      <c r="G181" s="4"/>
      <c r="H181" s="4"/>
      <c r="I181" s="4">
        <f>SUM(I182:I184)</f>
        <v>688</v>
      </c>
      <c r="J181" s="4"/>
      <c r="K181" s="4"/>
      <c r="L181" s="4">
        <f>SUM(L182:L184)</f>
        <v>764</v>
      </c>
      <c r="M181" s="4"/>
      <c r="N181" s="4"/>
      <c r="O181" s="4">
        <f>SUM(O182:O184)</f>
        <v>331</v>
      </c>
    </row>
    <row r="182" spans="1:15" ht="13.5" customHeight="1" x14ac:dyDescent="0.3">
      <c r="A182" s="1"/>
      <c r="B182" s="1" t="s">
        <v>4</v>
      </c>
      <c r="C182" s="1"/>
      <c r="D182" s="1"/>
      <c r="E182" s="1"/>
      <c r="F182" s="3">
        <f>VLOOKUP("IL, C",'[1]Raw Data'!$B$2:$O$102,3,FALSE)</f>
        <v>158</v>
      </c>
      <c r="G182" s="3"/>
      <c r="H182" s="3"/>
      <c r="I182" s="3">
        <f>VLOOKUP("IL, C",'[1]Raw Data'!$B$2:$O$102,4,FALSE)</f>
        <v>132</v>
      </c>
      <c r="J182" s="3"/>
      <c r="K182" s="3"/>
      <c r="L182" s="3">
        <f>VLOOKUP("IL, C",'[1]Raw Data'!$B$2:$O$102,5,FALSE)</f>
        <v>163</v>
      </c>
      <c r="M182" s="3"/>
      <c r="N182" s="3"/>
      <c r="O182" s="3">
        <f>VLOOKUP("IL, C",'[1]Raw Data'!$B$2:$O$102,6,FALSE)</f>
        <v>127</v>
      </c>
    </row>
    <row r="183" spans="1:15" ht="13.5" customHeight="1" x14ac:dyDescent="0.3">
      <c r="A183" s="1"/>
      <c r="B183" s="1" t="s">
        <v>3</v>
      </c>
      <c r="C183" s="1"/>
      <c r="D183" s="1"/>
      <c r="E183" s="1"/>
      <c r="F183" s="3">
        <f>VLOOKUP("IL, C",'[1]Raw Data'!$B$2:$O$102,7,FALSE)</f>
        <v>127</v>
      </c>
      <c r="G183" s="3"/>
      <c r="H183" s="3"/>
      <c r="I183" s="3">
        <f>VLOOKUP("IL, C",'[1]Raw Data'!$B$2:$O$102,8,FALSE)</f>
        <v>282</v>
      </c>
      <c r="J183" s="3"/>
      <c r="K183" s="3"/>
      <c r="L183" s="3">
        <f>VLOOKUP("IL, C",'[1]Raw Data'!$B$2:$O$102,9,FALSE)</f>
        <v>302</v>
      </c>
      <c r="M183" s="3"/>
      <c r="N183" s="3"/>
      <c r="O183" s="3">
        <f>VLOOKUP("IL, C",'[1]Raw Data'!$B$2:$O$102,10,FALSE)</f>
        <v>107</v>
      </c>
    </row>
    <row r="184" spans="1:15" ht="13.5" customHeight="1" x14ac:dyDescent="0.3">
      <c r="A184" s="1"/>
      <c r="B184" s="1" t="s">
        <v>2</v>
      </c>
      <c r="C184" s="1"/>
      <c r="D184" s="1"/>
      <c r="E184" s="1"/>
      <c r="F184" s="3">
        <f>VLOOKUP("IL, C",'[1]Raw Data'!$B$2:$O$102,11,FALSE)</f>
        <v>122</v>
      </c>
      <c r="G184" s="3"/>
      <c r="H184" s="3"/>
      <c r="I184" s="3">
        <f>VLOOKUP("IL, C",'[1]Raw Data'!$B$2:$O$102,12,FALSE)</f>
        <v>274</v>
      </c>
      <c r="J184" s="3"/>
      <c r="K184" s="3"/>
      <c r="L184" s="3">
        <f>VLOOKUP("IL, C",'[1]Raw Data'!$B$2:$O$102,13,FALSE)</f>
        <v>299</v>
      </c>
      <c r="M184" s="3"/>
      <c r="N184" s="3"/>
      <c r="O184" s="3">
        <f>VLOOKUP("IL, C",'[1]Raw Data'!$B$2:$O$102,14,FALSE)</f>
        <v>97</v>
      </c>
    </row>
    <row r="185" spans="1:15" ht="12" customHeight="1" x14ac:dyDescent="0.3"/>
    <row r="186" spans="1:15" ht="13.5" customHeight="1" x14ac:dyDescent="0.3">
      <c r="A186" s="1"/>
      <c r="B186" s="1"/>
      <c r="C186" s="5" t="str">
        <f>IF(VLOOKUP("IL, N",'[1]Raw Data'!$B$2:$O$102,2,FALSE)="CDO","IL, N"&amp;" "&amp;CHAR(178),"IL, N")</f>
        <v>IL, N ²</v>
      </c>
      <c r="D186" s="1"/>
      <c r="F186" s="4">
        <f>SUM(F187:F189)</f>
        <v>1250</v>
      </c>
      <c r="G186" s="4"/>
      <c r="H186" s="4"/>
      <c r="I186" s="4">
        <f>SUM(I187:I189)</f>
        <v>524</v>
      </c>
      <c r="J186" s="4"/>
      <c r="K186" s="4"/>
      <c r="L186" s="4">
        <f>SUM(L187:L189)</f>
        <v>727</v>
      </c>
      <c r="M186" s="4"/>
      <c r="N186" s="4"/>
      <c r="O186" s="4">
        <f>SUM(O187:O189)</f>
        <v>1047</v>
      </c>
    </row>
    <row r="187" spans="1:15" ht="13.5" customHeight="1" x14ac:dyDescent="0.3">
      <c r="A187" s="1"/>
      <c r="B187" s="1" t="s">
        <v>4</v>
      </c>
      <c r="C187" s="1"/>
      <c r="D187" s="1"/>
      <c r="E187" s="1"/>
      <c r="F187" s="3">
        <f>VLOOKUP("IL, N",'[1]Raw Data'!$B$2:$O$102,3,FALSE)</f>
        <v>577</v>
      </c>
      <c r="G187" s="3"/>
      <c r="H187" s="3"/>
      <c r="I187" s="3">
        <f>VLOOKUP("IL, N",'[1]Raw Data'!$B$2:$O$102,4,FALSE)</f>
        <v>261</v>
      </c>
      <c r="J187" s="3"/>
      <c r="K187" s="3"/>
      <c r="L187" s="3">
        <f>VLOOKUP("IL, N",'[1]Raw Data'!$B$2:$O$102,5,FALSE)</f>
        <v>330</v>
      </c>
      <c r="M187" s="3"/>
      <c r="N187" s="3"/>
      <c r="O187" s="3">
        <f>VLOOKUP("IL, N",'[1]Raw Data'!$B$2:$O$102,6,FALSE)</f>
        <v>508</v>
      </c>
    </row>
    <row r="188" spans="1:15" ht="13.5" customHeight="1" x14ac:dyDescent="0.3">
      <c r="A188" s="1"/>
      <c r="B188" s="1" t="s">
        <v>3</v>
      </c>
      <c r="C188" s="1"/>
      <c r="D188" s="1"/>
      <c r="E188" s="1"/>
      <c r="F188" s="3">
        <f>VLOOKUP("IL, N",'[1]Raw Data'!$B$2:$O$102,7,FALSE)</f>
        <v>38</v>
      </c>
      <c r="G188" s="3"/>
      <c r="H188" s="3"/>
      <c r="I188" s="3">
        <f>VLOOKUP("IL, N",'[1]Raw Data'!$B$2:$O$102,8,FALSE)</f>
        <v>30</v>
      </c>
      <c r="J188" s="3"/>
      <c r="K188" s="3"/>
      <c r="L188" s="3">
        <f>VLOOKUP("IL, N",'[1]Raw Data'!$B$2:$O$102,9,FALSE)</f>
        <v>31</v>
      </c>
      <c r="M188" s="3"/>
      <c r="N188" s="3"/>
      <c r="O188" s="3">
        <f>VLOOKUP("IL, N",'[1]Raw Data'!$B$2:$O$102,10,FALSE)</f>
        <v>37</v>
      </c>
    </row>
    <row r="189" spans="1:15" ht="13.5" customHeight="1" x14ac:dyDescent="0.3">
      <c r="A189" s="1"/>
      <c r="B189" s="1" t="s">
        <v>2</v>
      </c>
      <c r="C189" s="1"/>
      <c r="D189" s="1"/>
      <c r="E189" s="1"/>
      <c r="F189" s="3">
        <f>VLOOKUP("IL, N",'[1]Raw Data'!$B$2:$O$102,11,FALSE)</f>
        <v>635</v>
      </c>
      <c r="G189" s="3"/>
      <c r="H189" s="3"/>
      <c r="I189" s="3">
        <f>VLOOKUP("IL, N",'[1]Raw Data'!$B$2:$O$102,12,FALSE)</f>
        <v>233</v>
      </c>
      <c r="J189" s="3"/>
      <c r="K189" s="3"/>
      <c r="L189" s="3">
        <f>VLOOKUP("IL, N",'[1]Raw Data'!$B$2:$O$102,13,FALSE)</f>
        <v>366</v>
      </c>
      <c r="M189" s="3"/>
      <c r="N189" s="3"/>
      <c r="O189" s="3">
        <f>VLOOKUP("IL, N",'[1]Raw Data'!$B$2:$O$102,14,FALSE)</f>
        <v>502</v>
      </c>
    </row>
    <row r="190" spans="1:15" ht="12" customHeight="1" x14ac:dyDescent="0.3"/>
    <row r="191" spans="1:15" ht="13.5" customHeight="1" x14ac:dyDescent="0.3">
      <c r="A191" s="1"/>
      <c r="B191" s="1"/>
      <c r="C191" s="5" t="str">
        <f>IF(VLOOKUP("IL, S",'[1]Raw Data'!$B$2:$O$102,2,FALSE)="CDO","IL, S"&amp;" "&amp;CHAR(178),"IL, S")</f>
        <v>IL, S</v>
      </c>
      <c r="D191" s="1"/>
      <c r="F191" s="4">
        <f>SUM(F192:F194)</f>
        <v>321</v>
      </c>
      <c r="G191" s="4"/>
      <c r="H191" s="4"/>
      <c r="I191" s="4">
        <f>SUM(I192:I194)</f>
        <v>433</v>
      </c>
      <c r="J191" s="4"/>
      <c r="K191" s="4"/>
      <c r="L191" s="4">
        <f>SUM(L192:L194)</f>
        <v>502</v>
      </c>
      <c r="M191" s="4"/>
      <c r="N191" s="4"/>
      <c r="O191" s="4">
        <f>SUM(O192:O194)</f>
        <v>252</v>
      </c>
    </row>
    <row r="192" spans="1:15" ht="13.5" customHeight="1" x14ac:dyDescent="0.3">
      <c r="A192" s="1"/>
      <c r="B192" s="1" t="s">
        <v>4</v>
      </c>
      <c r="C192" s="1"/>
      <c r="D192" s="1"/>
      <c r="E192" s="1"/>
      <c r="F192" s="3">
        <f>VLOOKUP("IL, S",'[1]Raw Data'!$B$2:$O$102,3,FALSE)</f>
        <v>157</v>
      </c>
      <c r="G192" s="3"/>
      <c r="H192" s="3"/>
      <c r="I192" s="3">
        <f>VLOOKUP("IL, S",'[1]Raw Data'!$B$2:$O$102,4,FALSE)</f>
        <v>164</v>
      </c>
      <c r="J192" s="3"/>
      <c r="K192" s="3"/>
      <c r="L192" s="3">
        <f>VLOOKUP("IL, S",'[1]Raw Data'!$B$2:$O$102,5,FALSE)</f>
        <v>164</v>
      </c>
      <c r="M192" s="3"/>
      <c r="N192" s="3"/>
      <c r="O192" s="3">
        <f>VLOOKUP("IL, S",'[1]Raw Data'!$B$2:$O$102,6,FALSE)</f>
        <v>156</v>
      </c>
    </row>
    <row r="193" spans="1:15" ht="13.5" customHeight="1" x14ac:dyDescent="0.3">
      <c r="A193" s="1"/>
      <c r="B193" s="1" t="s">
        <v>3</v>
      </c>
      <c r="C193" s="1"/>
      <c r="D193" s="1"/>
      <c r="E193" s="1"/>
      <c r="F193" s="3">
        <f>VLOOKUP("IL, S",'[1]Raw Data'!$B$2:$O$102,7,FALSE)</f>
        <v>24</v>
      </c>
      <c r="G193" s="3"/>
      <c r="H193" s="3"/>
      <c r="I193" s="3">
        <f>VLOOKUP("IL, S",'[1]Raw Data'!$B$2:$O$102,8,FALSE)</f>
        <v>30</v>
      </c>
      <c r="J193" s="3"/>
      <c r="K193" s="3"/>
      <c r="L193" s="3">
        <f>VLOOKUP("IL, S",'[1]Raw Data'!$B$2:$O$102,9,FALSE)</f>
        <v>39</v>
      </c>
      <c r="M193" s="3"/>
      <c r="N193" s="3"/>
      <c r="O193" s="3">
        <f>VLOOKUP("IL, S",'[1]Raw Data'!$B$2:$O$102,10,FALSE)</f>
        <v>15</v>
      </c>
    </row>
    <row r="194" spans="1:15" ht="13.5" customHeight="1" x14ac:dyDescent="0.3">
      <c r="A194" s="1"/>
      <c r="B194" s="1" t="s">
        <v>2</v>
      </c>
      <c r="C194" s="1"/>
      <c r="D194" s="1"/>
      <c r="E194" s="1"/>
      <c r="F194" s="3">
        <f>VLOOKUP("IL, S",'[1]Raw Data'!$B$2:$O$102,11,FALSE)</f>
        <v>140</v>
      </c>
      <c r="G194" s="3"/>
      <c r="H194" s="3"/>
      <c r="I194" s="3">
        <f>VLOOKUP("IL, S",'[1]Raw Data'!$B$2:$O$102,12,FALSE)</f>
        <v>239</v>
      </c>
      <c r="J194" s="3"/>
      <c r="K194" s="3"/>
      <c r="L194" s="3">
        <f>VLOOKUP("IL, S",'[1]Raw Data'!$B$2:$O$102,13,FALSE)</f>
        <v>299</v>
      </c>
      <c r="M194" s="3"/>
      <c r="N194" s="3"/>
      <c r="O194" s="3">
        <f>VLOOKUP("IL, S",'[1]Raw Data'!$B$2:$O$102,14,FALSE)</f>
        <v>81</v>
      </c>
    </row>
    <row r="195" spans="1:15" ht="12" customHeight="1" x14ac:dyDescent="0.3"/>
    <row r="196" spans="1:15" ht="13.5" customHeight="1" x14ac:dyDescent="0.3">
      <c r="A196" s="1"/>
      <c r="B196" s="1"/>
      <c r="C196" s="5" t="str">
        <f>IF(VLOOKUP("IN, N",'[1]Raw Data'!$B$2:$O$102,2,FALSE)="CDO","IN, N"&amp;" "&amp;CHAR(178),"IN, N")</f>
        <v>IN, N ²</v>
      </c>
      <c r="D196" s="1"/>
      <c r="F196" s="4">
        <f>SUM(F197:F199)</f>
        <v>171</v>
      </c>
      <c r="G196" s="4"/>
      <c r="H196" s="4"/>
      <c r="I196" s="4">
        <f>SUM(I197:I199)</f>
        <v>465</v>
      </c>
      <c r="J196" s="4"/>
      <c r="K196" s="4"/>
      <c r="L196" s="4">
        <f>SUM(L197:L199)</f>
        <v>487</v>
      </c>
      <c r="M196" s="4"/>
      <c r="N196" s="4"/>
      <c r="O196" s="4">
        <f>SUM(O197:O199)</f>
        <v>149</v>
      </c>
    </row>
    <row r="197" spans="1:15" ht="13.5" customHeight="1" x14ac:dyDescent="0.3">
      <c r="A197" s="1"/>
      <c r="B197" s="1" t="s">
        <v>4</v>
      </c>
      <c r="C197" s="1"/>
      <c r="D197" s="1"/>
      <c r="E197" s="1"/>
      <c r="F197" s="3">
        <f>VLOOKUP("IN, N",'[1]Raw Data'!$B$2:$O$102,3,FALSE)</f>
        <v>116</v>
      </c>
      <c r="G197" s="3"/>
      <c r="H197" s="3"/>
      <c r="I197" s="3">
        <f>VLOOKUP("IN, N",'[1]Raw Data'!$B$2:$O$102,4,FALSE)</f>
        <v>179</v>
      </c>
      <c r="J197" s="3"/>
      <c r="K197" s="3"/>
      <c r="L197" s="3">
        <f>VLOOKUP("IN, N",'[1]Raw Data'!$B$2:$O$102,5,FALSE)</f>
        <v>185</v>
      </c>
      <c r="M197" s="3"/>
      <c r="N197" s="3"/>
      <c r="O197" s="3">
        <f>VLOOKUP("IN, N",'[1]Raw Data'!$B$2:$O$102,6,FALSE)</f>
        <v>110</v>
      </c>
    </row>
    <row r="198" spans="1:15" ht="13.5" customHeight="1" x14ac:dyDescent="0.3">
      <c r="A198" s="1"/>
      <c r="B198" s="1" t="s">
        <v>3</v>
      </c>
      <c r="C198" s="1"/>
      <c r="D198" s="1"/>
      <c r="E198" s="1"/>
      <c r="F198" s="3">
        <f>VLOOKUP("IN, N",'[1]Raw Data'!$B$2:$O$102,7,FALSE)</f>
        <v>9</v>
      </c>
      <c r="G198" s="3"/>
      <c r="H198" s="3"/>
      <c r="I198" s="3">
        <f>VLOOKUP("IN, N",'[1]Raw Data'!$B$2:$O$102,8,FALSE)</f>
        <v>16</v>
      </c>
      <c r="J198" s="3"/>
      <c r="K198" s="3"/>
      <c r="L198" s="3">
        <f>VLOOKUP("IN, N",'[1]Raw Data'!$B$2:$O$102,9,FALSE)</f>
        <v>23</v>
      </c>
      <c r="M198" s="3"/>
      <c r="N198" s="3"/>
      <c r="O198" s="3">
        <f>VLOOKUP("IN, N",'[1]Raw Data'!$B$2:$O$102,10,FALSE)</f>
        <v>2</v>
      </c>
    </row>
    <row r="199" spans="1:15" ht="13.5" customHeight="1" x14ac:dyDescent="0.3">
      <c r="A199" s="1"/>
      <c r="B199" s="1" t="s">
        <v>2</v>
      </c>
      <c r="C199" s="1"/>
      <c r="D199" s="1"/>
      <c r="E199" s="1"/>
      <c r="F199" s="3">
        <f>VLOOKUP("IN, N",'[1]Raw Data'!$B$2:$O$102,11,FALSE)</f>
        <v>46</v>
      </c>
      <c r="G199" s="3"/>
      <c r="H199" s="3"/>
      <c r="I199" s="3">
        <f>VLOOKUP("IN, N",'[1]Raw Data'!$B$2:$O$102,12,FALSE)</f>
        <v>270</v>
      </c>
      <c r="J199" s="3"/>
      <c r="K199" s="3"/>
      <c r="L199" s="3">
        <f>VLOOKUP("IN, N",'[1]Raw Data'!$B$2:$O$102,13,FALSE)</f>
        <v>279</v>
      </c>
      <c r="M199" s="3"/>
      <c r="N199" s="3"/>
      <c r="O199" s="3">
        <f>VLOOKUP("IN, N",'[1]Raw Data'!$B$2:$O$102,14,FALSE)</f>
        <v>37</v>
      </c>
    </row>
    <row r="200" spans="1:15" ht="12" customHeight="1" x14ac:dyDescent="0.3"/>
    <row r="201" spans="1:15" ht="13.5" customHeight="1" x14ac:dyDescent="0.3">
      <c r="A201" s="1"/>
      <c r="B201" s="1"/>
      <c r="C201" s="5" t="str">
        <f>IF(VLOOKUP("IN, S",'[1]Raw Data'!$B$2:$O$102,2,FALSE)="CDO","IN, S"&amp;" "&amp;CHAR(178),"IN, S")</f>
        <v>IN, S ²</v>
      </c>
      <c r="D201" s="1"/>
      <c r="F201" s="4">
        <f>SUM(F202:F204)</f>
        <v>526</v>
      </c>
      <c r="G201" s="4"/>
      <c r="H201" s="4"/>
      <c r="I201" s="4">
        <f>SUM(I202:I204)</f>
        <v>591</v>
      </c>
      <c r="J201" s="4"/>
      <c r="K201" s="4"/>
      <c r="L201" s="4">
        <f>SUM(L202:L204)</f>
        <v>857</v>
      </c>
      <c r="M201" s="4"/>
      <c r="N201" s="4"/>
      <c r="O201" s="4">
        <f>SUM(O202:O204)</f>
        <v>260</v>
      </c>
    </row>
    <row r="202" spans="1:15" ht="13.5" customHeight="1" x14ac:dyDescent="0.3">
      <c r="A202" s="1"/>
      <c r="B202" s="1" t="s">
        <v>4</v>
      </c>
      <c r="C202" s="1"/>
      <c r="D202" s="1"/>
      <c r="E202" s="1"/>
      <c r="F202" s="3">
        <f>VLOOKUP("IN, S",'[1]Raw Data'!$B$2:$O$102,3,FALSE)</f>
        <v>294</v>
      </c>
      <c r="G202" s="3"/>
      <c r="H202" s="3"/>
      <c r="I202" s="3">
        <f>VLOOKUP("IN, S",'[1]Raw Data'!$B$2:$O$102,4,FALSE)</f>
        <v>198</v>
      </c>
      <c r="J202" s="3"/>
      <c r="K202" s="3"/>
      <c r="L202" s="3">
        <f>VLOOKUP("IN, S",'[1]Raw Data'!$B$2:$O$102,5,FALSE)</f>
        <v>322</v>
      </c>
      <c r="M202" s="3"/>
      <c r="N202" s="3"/>
      <c r="O202" s="3">
        <f>VLOOKUP("IN, S",'[1]Raw Data'!$B$2:$O$102,6,FALSE)</f>
        <v>169</v>
      </c>
    </row>
    <row r="203" spans="1:15" ht="13.5" customHeight="1" x14ac:dyDescent="0.3">
      <c r="A203" s="1"/>
      <c r="B203" s="1" t="s">
        <v>3</v>
      </c>
      <c r="C203" s="1"/>
      <c r="D203" s="1"/>
      <c r="E203" s="1"/>
      <c r="F203" s="3">
        <f>VLOOKUP("IN, S",'[1]Raw Data'!$B$2:$O$102,7,FALSE)</f>
        <v>10</v>
      </c>
      <c r="G203" s="3"/>
      <c r="H203" s="3"/>
      <c r="I203" s="3">
        <f>VLOOKUP("IN, S",'[1]Raw Data'!$B$2:$O$102,8,FALSE)</f>
        <v>26</v>
      </c>
      <c r="J203" s="3"/>
      <c r="K203" s="3"/>
      <c r="L203" s="3">
        <f>VLOOKUP("IN, S",'[1]Raw Data'!$B$2:$O$102,9,FALSE)</f>
        <v>27</v>
      </c>
      <c r="M203" s="3"/>
      <c r="N203" s="3"/>
      <c r="O203" s="3">
        <f>VLOOKUP("IN, S",'[1]Raw Data'!$B$2:$O$102,10,FALSE)</f>
        <v>9</v>
      </c>
    </row>
    <row r="204" spans="1:15" ht="13.5" customHeight="1" x14ac:dyDescent="0.3">
      <c r="A204" s="1"/>
      <c r="B204" s="1" t="s">
        <v>2</v>
      </c>
      <c r="C204" s="1"/>
      <c r="D204" s="1"/>
      <c r="E204" s="1"/>
      <c r="F204" s="3">
        <f>VLOOKUP("IN, S",'[1]Raw Data'!$B$2:$O$102,11,FALSE)</f>
        <v>222</v>
      </c>
      <c r="G204" s="3"/>
      <c r="H204" s="3"/>
      <c r="I204" s="3">
        <f>VLOOKUP("IN, S",'[1]Raw Data'!$B$2:$O$102,12,FALSE)</f>
        <v>367</v>
      </c>
      <c r="J204" s="3"/>
      <c r="K204" s="3"/>
      <c r="L204" s="3">
        <f>VLOOKUP("IN, S",'[1]Raw Data'!$B$2:$O$102,13,FALSE)</f>
        <v>508</v>
      </c>
      <c r="M204" s="3"/>
      <c r="N204" s="3"/>
      <c r="O204" s="3">
        <f>VLOOKUP("IN, S",'[1]Raw Data'!$B$2:$O$102,14,FALSE)</f>
        <v>82</v>
      </c>
    </row>
    <row r="205" spans="1:15" ht="12" customHeight="1" x14ac:dyDescent="0.3"/>
    <row r="206" spans="1:15" ht="13.5" customHeight="1" x14ac:dyDescent="0.3">
      <c r="A206" s="1"/>
      <c r="B206" s="1"/>
      <c r="C206" s="5" t="str">
        <f>IF(VLOOKUP("KS",'[1]Raw Data'!$B$2:$O$102,2,FALSE)="CDO","KS"&amp;" "&amp;CHAR(178),"KS")</f>
        <v>KS</v>
      </c>
      <c r="D206" s="1"/>
      <c r="F206" s="4">
        <f>SUM(F207:F209)</f>
        <v>719</v>
      </c>
      <c r="G206" s="4"/>
      <c r="H206" s="4"/>
      <c r="I206" s="4">
        <f>SUM(I207:I209)</f>
        <v>778</v>
      </c>
      <c r="J206" s="4"/>
      <c r="K206" s="4"/>
      <c r="L206" s="4">
        <f>SUM(L207:L209)</f>
        <v>933</v>
      </c>
      <c r="M206" s="4"/>
      <c r="N206" s="4"/>
      <c r="O206" s="4">
        <f>SUM(O207:O209)</f>
        <v>563</v>
      </c>
    </row>
    <row r="207" spans="1:15" ht="13.5" customHeight="1" x14ac:dyDescent="0.3">
      <c r="A207" s="1"/>
      <c r="B207" s="1" t="s">
        <v>4</v>
      </c>
      <c r="C207" s="1"/>
      <c r="D207" s="1"/>
      <c r="E207" s="1"/>
      <c r="F207" s="3">
        <f>VLOOKUP("KS",'[1]Raw Data'!$B$2:$O$102,3,FALSE)</f>
        <v>300</v>
      </c>
      <c r="G207" s="3"/>
      <c r="H207" s="3"/>
      <c r="I207" s="3">
        <f>VLOOKUP("KS",'[1]Raw Data'!$B$2:$O$102,4,FALSE)</f>
        <v>295</v>
      </c>
      <c r="J207" s="3"/>
      <c r="K207" s="3"/>
      <c r="L207" s="3">
        <f>VLOOKUP("KS",'[1]Raw Data'!$B$2:$O$102,5,FALSE)</f>
        <v>357</v>
      </c>
      <c r="M207" s="3"/>
      <c r="N207" s="3"/>
      <c r="O207" s="3">
        <f>VLOOKUP("KS",'[1]Raw Data'!$B$2:$O$102,6,FALSE)</f>
        <v>239</v>
      </c>
    </row>
    <row r="208" spans="1:15" ht="13.5" customHeight="1" x14ac:dyDescent="0.3">
      <c r="A208" s="1"/>
      <c r="B208" s="1" t="s">
        <v>3</v>
      </c>
      <c r="C208" s="1"/>
      <c r="D208" s="1"/>
      <c r="E208" s="1"/>
      <c r="F208" s="3">
        <f>VLOOKUP("KS",'[1]Raw Data'!$B$2:$O$102,7,FALSE)</f>
        <v>72</v>
      </c>
      <c r="G208" s="3"/>
      <c r="H208" s="3"/>
      <c r="I208" s="3">
        <f>VLOOKUP("KS",'[1]Raw Data'!$B$2:$O$102,8,FALSE)</f>
        <v>62</v>
      </c>
      <c r="J208" s="3"/>
      <c r="K208" s="3"/>
      <c r="L208" s="3">
        <f>VLOOKUP("KS",'[1]Raw Data'!$B$2:$O$102,9,FALSE)</f>
        <v>87</v>
      </c>
      <c r="M208" s="3"/>
      <c r="N208" s="3"/>
      <c r="O208" s="3">
        <f>VLOOKUP("KS",'[1]Raw Data'!$B$2:$O$102,10,FALSE)</f>
        <v>46</v>
      </c>
    </row>
    <row r="209" spans="1:16" ht="13.5" customHeight="1" x14ac:dyDescent="0.3">
      <c r="A209" s="1"/>
      <c r="B209" s="1" t="s">
        <v>2</v>
      </c>
      <c r="C209" s="1"/>
      <c r="D209" s="1"/>
      <c r="E209" s="1"/>
      <c r="F209" s="3">
        <f>VLOOKUP("KS",'[1]Raw Data'!$B$2:$O$102,11,FALSE)</f>
        <v>347</v>
      </c>
      <c r="G209" s="3"/>
      <c r="H209" s="3"/>
      <c r="I209" s="3">
        <f>VLOOKUP("KS",'[1]Raw Data'!$B$2:$O$102,12,FALSE)</f>
        <v>421</v>
      </c>
      <c r="J209" s="3"/>
      <c r="K209" s="3"/>
      <c r="L209" s="3">
        <f>VLOOKUP("KS",'[1]Raw Data'!$B$2:$O$102,13,FALSE)</f>
        <v>489</v>
      </c>
      <c r="M209" s="3"/>
      <c r="N209" s="3"/>
      <c r="O209" s="3">
        <f>VLOOKUP("KS",'[1]Raw Data'!$B$2:$O$102,14,FALSE)</f>
        <v>278</v>
      </c>
    </row>
    <row r="210" spans="1:16" ht="12" customHeight="1" x14ac:dyDescent="0.3"/>
    <row r="211" spans="1:16" ht="12" customHeight="1" x14ac:dyDescent="0.3"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6" ht="15" customHeight="1" x14ac:dyDescent="0.3">
      <c r="A212" s="7" t="str">
        <f>"Table K-1. (September 30, "&amp;'[1]Raw Data'!$A$2&amp;"—Continued)"</f>
        <v>Table K-1. (September 30, 2022—Continued)</v>
      </c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6" ht="12" customHeight="1" x14ac:dyDescent="0.3"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6" ht="15" customHeight="1" x14ac:dyDescent="0.3">
      <c r="A214" s="11" t="s">
        <v>12</v>
      </c>
      <c r="B214" s="11"/>
      <c r="C214" s="11"/>
      <c r="D214" s="12"/>
      <c r="E214" s="10" t="s">
        <v>10</v>
      </c>
      <c r="F214" s="11"/>
      <c r="G214" s="12"/>
      <c r="H214" s="10" t="s">
        <v>11</v>
      </c>
      <c r="I214" s="11"/>
      <c r="J214" s="12"/>
      <c r="K214" s="10" t="s">
        <v>11</v>
      </c>
      <c r="L214" s="11"/>
      <c r="M214" s="12"/>
      <c r="N214" s="10" t="s">
        <v>10</v>
      </c>
      <c r="O214" s="11"/>
      <c r="P214" s="11"/>
    </row>
    <row r="215" spans="1:16" ht="13.5" customHeight="1" x14ac:dyDescent="0.3">
      <c r="A215" s="14" t="s">
        <v>9</v>
      </c>
      <c r="B215" s="14"/>
      <c r="C215" s="14"/>
      <c r="D215" s="15"/>
      <c r="E215" s="13" t="s">
        <v>8</v>
      </c>
      <c r="F215" s="14"/>
      <c r="G215" s="15"/>
      <c r="H215" s="13" t="s">
        <v>7</v>
      </c>
      <c r="I215" s="14"/>
      <c r="J215" s="15"/>
      <c r="K215" s="13" t="s">
        <v>6</v>
      </c>
      <c r="L215" s="14"/>
      <c r="M215" s="15"/>
      <c r="N215" s="13" t="s">
        <v>5</v>
      </c>
      <c r="O215" s="14"/>
      <c r="P215" s="14"/>
    </row>
    <row r="216" spans="1:16" ht="3.7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3.5" customHeight="1" x14ac:dyDescent="0.3"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6" ht="13.5" customHeight="1" x14ac:dyDescent="0.3">
      <c r="A218" s="1"/>
      <c r="B218" s="1"/>
      <c r="C218" s="5" t="str">
        <f>IF(VLOOKUP("KY, W",'[1]Raw Data'!$B$2:$O$102,2,FALSE)="CDO","KY, W"&amp;" "&amp;CHAR(178),"KY, W")</f>
        <v>KY, W ²</v>
      </c>
      <c r="D218" s="1"/>
      <c r="F218" s="4">
        <f>SUM(F219:F221)</f>
        <v>246</v>
      </c>
      <c r="G218" s="4"/>
      <c r="H218" s="4"/>
      <c r="I218" s="4">
        <f>SUM(I219:I221)</f>
        <v>365</v>
      </c>
      <c r="J218" s="4"/>
      <c r="K218" s="4"/>
      <c r="L218" s="4">
        <f>SUM(L219:L221)</f>
        <v>397</v>
      </c>
      <c r="M218" s="4"/>
      <c r="N218" s="4"/>
      <c r="O218" s="4">
        <f>SUM(O219:O221)</f>
        <v>214</v>
      </c>
    </row>
    <row r="219" spans="1:16" ht="13.5" customHeight="1" x14ac:dyDescent="0.3">
      <c r="A219" s="1"/>
      <c r="B219" s="1" t="s">
        <v>4</v>
      </c>
      <c r="C219" s="1"/>
      <c r="D219" s="1"/>
      <c r="E219" s="1"/>
      <c r="F219" s="3">
        <f>VLOOKUP("KY, W",'[1]Raw Data'!$B$2:$O$102,3,FALSE)</f>
        <v>164</v>
      </c>
      <c r="G219" s="3"/>
      <c r="H219" s="3"/>
      <c r="I219" s="3">
        <f>VLOOKUP("KY, W",'[1]Raw Data'!$B$2:$O$102,4,FALSE)</f>
        <v>224</v>
      </c>
      <c r="J219" s="3"/>
      <c r="K219" s="3"/>
      <c r="L219" s="3">
        <f>VLOOKUP("KY, W",'[1]Raw Data'!$B$2:$O$102,5,FALSE)</f>
        <v>211</v>
      </c>
      <c r="M219" s="3"/>
      <c r="N219" s="3"/>
      <c r="O219" s="3">
        <f>VLOOKUP("KY, W",'[1]Raw Data'!$B$2:$O$102,6,FALSE)</f>
        <v>177</v>
      </c>
    </row>
    <row r="220" spans="1:16" ht="13.5" customHeight="1" x14ac:dyDescent="0.3">
      <c r="A220" s="1"/>
      <c r="B220" s="1" t="s">
        <v>3</v>
      </c>
      <c r="C220" s="1"/>
      <c r="D220" s="1"/>
      <c r="E220" s="1"/>
      <c r="F220" s="3">
        <f>VLOOKUP("KY, W",'[1]Raw Data'!$B$2:$O$102,7,FALSE)</f>
        <v>13</v>
      </c>
      <c r="G220" s="3"/>
      <c r="H220" s="3"/>
      <c r="I220" s="3">
        <f>VLOOKUP("KY, W",'[1]Raw Data'!$B$2:$O$102,8,FALSE)</f>
        <v>20</v>
      </c>
      <c r="J220" s="3"/>
      <c r="K220" s="3"/>
      <c r="L220" s="3">
        <f>VLOOKUP("KY, W",'[1]Raw Data'!$B$2:$O$102,9,FALSE)</f>
        <v>29</v>
      </c>
      <c r="M220" s="3"/>
      <c r="N220" s="3"/>
      <c r="O220" s="3">
        <f>VLOOKUP("KY, W",'[1]Raw Data'!$B$2:$O$102,10,FALSE)</f>
        <v>4</v>
      </c>
    </row>
    <row r="221" spans="1:16" ht="13.5" customHeight="1" x14ac:dyDescent="0.3">
      <c r="A221" s="1"/>
      <c r="B221" s="1" t="s">
        <v>2</v>
      </c>
      <c r="C221" s="1"/>
      <c r="D221" s="1"/>
      <c r="E221" s="1"/>
      <c r="F221" s="3">
        <f>VLOOKUP("KY, W",'[1]Raw Data'!$B$2:$O$102,11,FALSE)</f>
        <v>69</v>
      </c>
      <c r="G221" s="3"/>
      <c r="H221" s="3"/>
      <c r="I221" s="3">
        <f>VLOOKUP("KY, W",'[1]Raw Data'!$B$2:$O$102,12,FALSE)</f>
        <v>121</v>
      </c>
      <c r="J221" s="3"/>
      <c r="K221" s="3"/>
      <c r="L221" s="3">
        <f>VLOOKUP("KY, W",'[1]Raw Data'!$B$2:$O$102,13,FALSE)</f>
        <v>157</v>
      </c>
      <c r="M221" s="3"/>
      <c r="N221" s="3"/>
      <c r="O221" s="3">
        <f>VLOOKUP("KY, W",'[1]Raw Data'!$B$2:$O$102,14,FALSE)</f>
        <v>33</v>
      </c>
    </row>
    <row r="222" spans="1:16" ht="12" customHeight="1" x14ac:dyDescent="0.3"/>
    <row r="223" spans="1:16" ht="13.5" customHeight="1" x14ac:dyDescent="0.3">
      <c r="A223" s="1"/>
      <c r="B223" s="1"/>
      <c r="C223" s="5" t="str">
        <f>IF(VLOOKUP("LA, E",'[1]Raw Data'!$B$2:$O$102,2,FALSE)="CDO","LA, E"&amp;" "&amp;CHAR(178),"LA, E")</f>
        <v>LA, E</v>
      </c>
      <c r="D223" s="1"/>
      <c r="F223" s="4">
        <f>SUM(F224:F226)</f>
        <v>196</v>
      </c>
      <c r="G223" s="4"/>
      <c r="H223" s="4"/>
      <c r="I223" s="4">
        <f>SUM(I224:I226)</f>
        <v>400</v>
      </c>
      <c r="J223" s="4"/>
      <c r="K223" s="4"/>
      <c r="L223" s="4">
        <f>SUM(L224:L226)</f>
        <v>337</v>
      </c>
      <c r="M223" s="4"/>
      <c r="N223" s="4"/>
      <c r="O223" s="4">
        <f>SUM(O224:O226)</f>
        <v>259</v>
      </c>
    </row>
    <row r="224" spans="1:16" ht="13.5" customHeight="1" x14ac:dyDescent="0.3">
      <c r="A224" s="1"/>
      <c r="B224" s="1" t="s">
        <v>4</v>
      </c>
      <c r="C224" s="1"/>
      <c r="D224" s="1"/>
      <c r="E224" s="1"/>
      <c r="F224" s="3">
        <f>VLOOKUP("LA, E",'[1]Raw Data'!$B$2:$O$102,3,FALSE)</f>
        <v>103</v>
      </c>
      <c r="G224" s="3"/>
      <c r="H224" s="3"/>
      <c r="I224" s="3">
        <f>VLOOKUP("LA, E",'[1]Raw Data'!$B$2:$O$102,4,FALSE)</f>
        <v>222</v>
      </c>
      <c r="J224" s="3"/>
      <c r="K224" s="3"/>
      <c r="L224" s="3">
        <f>VLOOKUP("LA, E",'[1]Raw Data'!$B$2:$O$102,5,FALSE)</f>
        <v>151</v>
      </c>
      <c r="M224" s="3"/>
      <c r="N224" s="3"/>
      <c r="O224" s="3">
        <f>VLOOKUP("LA, E",'[1]Raw Data'!$B$2:$O$102,6,FALSE)</f>
        <v>174</v>
      </c>
    </row>
    <row r="225" spans="1:15" ht="13.5" customHeight="1" x14ac:dyDescent="0.3">
      <c r="A225" s="1"/>
      <c r="B225" s="1" t="s">
        <v>3</v>
      </c>
      <c r="C225" s="1"/>
      <c r="D225" s="1"/>
      <c r="E225" s="1"/>
      <c r="F225" s="3">
        <f>VLOOKUP("LA, E",'[1]Raw Data'!$B$2:$O$102,7,FALSE)</f>
        <v>17</v>
      </c>
      <c r="G225" s="3"/>
      <c r="H225" s="3"/>
      <c r="I225" s="3">
        <f>VLOOKUP("LA, E",'[1]Raw Data'!$B$2:$O$102,8,FALSE)</f>
        <v>35</v>
      </c>
      <c r="J225" s="3"/>
      <c r="K225" s="3"/>
      <c r="L225" s="3">
        <f>VLOOKUP("LA, E",'[1]Raw Data'!$B$2:$O$102,9,FALSE)</f>
        <v>32</v>
      </c>
      <c r="M225" s="3"/>
      <c r="N225" s="3"/>
      <c r="O225" s="3">
        <f>VLOOKUP("LA, E",'[1]Raw Data'!$B$2:$O$102,10,FALSE)</f>
        <v>20</v>
      </c>
    </row>
    <row r="226" spans="1:15" ht="13.5" customHeight="1" x14ac:dyDescent="0.3">
      <c r="A226" s="1"/>
      <c r="B226" s="1" t="s">
        <v>2</v>
      </c>
      <c r="C226" s="1"/>
      <c r="D226" s="1"/>
      <c r="E226" s="1"/>
      <c r="F226" s="3">
        <f>VLOOKUP("LA, E",'[1]Raw Data'!$B$2:$O$102,11,FALSE)</f>
        <v>76</v>
      </c>
      <c r="G226" s="3"/>
      <c r="H226" s="3"/>
      <c r="I226" s="3">
        <f>VLOOKUP("LA, E",'[1]Raw Data'!$B$2:$O$102,12,FALSE)</f>
        <v>143</v>
      </c>
      <c r="J226" s="3"/>
      <c r="K226" s="3"/>
      <c r="L226" s="3">
        <f>VLOOKUP("LA, E",'[1]Raw Data'!$B$2:$O$102,13,FALSE)</f>
        <v>154</v>
      </c>
      <c r="M226" s="3"/>
      <c r="N226" s="3"/>
      <c r="O226" s="3">
        <f>VLOOKUP("LA, E",'[1]Raw Data'!$B$2:$O$102,14,FALSE)</f>
        <v>65</v>
      </c>
    </row>
    <row r="227" spans="1:15" ht="12" customHeight="1" x14ac:dyDescent="0.3"/>
    <row r="228" spans="1:15" ht="13.5" customHeight="1" x14ac:dyDescent="0.3">
      <c r="A228" s="1"/>
      <c r="B228" s="1"/>
      <c r="C228" s="5" t="str">
        <f>IF(VLOOKUP("TOT: LA, M/W",'[1]Raw Data'!$B$2:$O$102,2,FALSE)="CDO","TOT: LA, M/W"&amp;" "&amp;CHAR(178),"TOT: LA, M/W")</f>
        <v>TOT: LA, M/W</v>
      </c>
      <c r="D228" s="1"/>
      <c r="F228" s="4">
        <f>IF(SUM(F229:F231)-SUM(F233,F238)=0,SUM(F229:F231),"ERROR")</f>
        <v>532</v>
      </c>
      <c r="G228" s="4"/>
      <c r="H228" s="4"/>
      <c r="I228" s="4">
        <f>IF(SUM(I229:I231)-SUM(I233,I238)=0,SUM(I229:I231),"ERROR")</f>
        <v>466</v>
      </c>
      <c r="J228" s="4"/>
      <c r="K228" s="4"/>
      <c r="L228" s="4">
        <f>IF(SUM(L229:L231)-SUM(L233,L238)=0,SUM(L229:L231),"ERROR")</f>
        <v>579</v>
      </c>
      <c r="M228" s="4"/>
      <c r="N228" s="4"/>
      <c r="O228" s="4">
        <f>IF(SUM(O229:O231)-SUM(O233,O238)=0,SUM(O229:O231),"ERROR")</f>
        <v>420</v>
      </c>
    </row>
    <row r="229" spans="1:15" ht="13.5" customHeight="1" x14ac:dyDescent="0.3">
      <c r="A229" s="1"/>
      <c r="B229" s="1" t="s">
        <v>4</v>
      </c>
      <c r="C229" s="1"/>
      <c r="D229" s="1"/>
      <c r="E229" s="1"/>
      <c r="F229" s="3">
        <f>VLOOKUP("TOT: LA, M/W",'[1]Raw Data'!$B$2:$O$102,3,FALSE)</f>
        <v>245</v>
      </c>
      <c r="G229" s="3"/>
      <c r="H229" s="3"/>
      <c r="I229" s="3">
        <f>VLOOKUP("TOT: LA, M/W",'[1]Raw Data'!$B$2:$O$102,4,FALSE)</f>
        <v>246</v>
      </c>
      <c r="J229" s="3"/>
      <c r="K229" s="3"/>
      <c r="L229" s="3">
        <f>VLOOKUP("TOT: LA, M/W",'[1]Raw Data'!$B$2:$O$102,5,FALSE)</f>
        <v>285</v>
      </c>
      <c r="M229" s="3"/>
      <c r="N229" s="3"/>
      <c r="O229" s="3">
        <f>VLOOKUP("TOT: LA, M/W",'[1]Raw Data'!$B$2:$O$102,6,FALSE)</f>
        <v>207</v>
      </c>
    </row>
    <row r="230" spans="1:15" ht="13.5" customHeight="1" x14ac:dyDescent="0.3">
      <c r="A230" s="1"/>
      <c r="B230" s="1" t="s">
        <v>3</v>
      </c>
      <c r="C230" s="1"/>
      <c r="D230" s="1"/>
      <c r="E230" s="1"/>
      <c r="F230" s="3">
        <f>VLOOKUP("TOT: LA, M/W",'[1]Raw Data'!$B$2:$O$102,7,FALSE)</f>
        <v>78</v>
      </c>
      <c r="G230" s="3"/>
      <c r="H230" s="3"/>
      <c r="I230" s="3">
        <f>VLOOKUP("TOT: LA, M/W",'[1]Raw Data'!$B$2:$O$102,8,FALSE)</f>
        <v>42</v>
      </c>
      <c r="J230" s="3"/>
      <c r="K230" s="3"/>
      <c r="L230" s="3">
        <f>VLOOKUP("TOT: LA, M/W",'[1]Raw Data'!$B$2:$O$102,9,FALSE)</f>
        <v>72</v>
      </c>
      <c r="M230" s="3"/>
      <c r="N230" s="3"/>
      <c r="O230" s="3">
        <f>VLOOKUP("TOT: LA, M/W",'[1]Raw Data'!$B$2:$O$102,10,FALSE)</f>
        <v>48</v>
      </c>
    </row>
    <row r="231" spans="1:15" ht="13.5" customHeight="1" x14ac:dyDescent="0.3">
      <c r="A231" s="1"/>
      <c r="B231" s="1" t="s">
        <v>2</v>
      </c>
      <c r="C231" s="1"/>
      <c r="D231" s="1"/>
      <c r="E231" s="1"/>
      <c r="F231" s="3">
        <f>VLOOKUP("TOT: LA, M/W",'[1]Raw Data'!$B$2:$O$102,11,FALSE)</f>
        <v>209</v>
      </c>
      <c r="G231" s="3"/>
      <c r="H231" s="3"/>
      <c r="I231" s="3">
        <f>VLOOKUP("TOT: LA, M/W",'[1]Raw Data'!$B$2:$O$102,12,FALSE)</f>
        <v>178</v>
      </c>
      <c r="J231" s="3"/>
      <c r="K231" s="3"/>
      <c r="L231" s="3">
        <f>VLOOKUP("TOT: LA, M/W",'[1]Raw Data'!$B$2:$O$102,13,FALSE)</f>
        <v>222</v>
      </c>
      <c r="M231" s="3"/>
      <c r="N231" s="3"/>
      <c r="O231" s="3">
        <f>VLOOKUP("TOT: LA, M/W",'[1]Raw Data'!$B$2:$O$102,14,FALSE)</f>
        <v>165</v>
      </c>
    </row>
    <row r="232" spans="1:15" ht="12" customHeight="1" x14ac:dyDescent="0.3"/>
    <row r="233" spans="1:15" ht="13.5" customHeight="1" x14ac:dyDescent="0.3">
      <c r="A233" s="1"/>
      <c r="B233" s="1"/>
      <c r="C233" s="5" t="str">
        <f>IF(VLOOKUP("   LA, M",'[1]Raw Data'!$B$2:$O$102,2,FALSE)="CDO","LA, M"&amp;" "&amp;CHAR(178),"LA, M")</f>
        <v>LA, M</v>
      </c>
      <c r="D233" s="1"/>
      <c r="F233" s="4">
        <f>SUM(F234:F236)</f>
        <v>94</v>
      </c>
      <c r="G233" s="4"/>
      <c r="H233" s="4"/>
      <c r="I233" s="4">
        <f>SUM(I234:I236)</f>
        <v>94</v>
      </c>
      <c r="J233" s="4"/>
      <c r="K233" s="4"/>
      <c r="L233" s="4">
        <f>SUM(L234:L236)</f>
        <v>89</v>
      </c>
      <c r="M233" s="4"/>
      <c r="N233" s="4"/>
      <c r="O233" s="4">
        <f>SUM(O234:O236)</f>
        <v>99</v>
      </c>
    </row>
    <row r="234" spans="1:15" ht="13.5" customHeight="1" x14ac:dyDescent="0.3">
      <c r="A234" s="1"/>
      <c r="B234" s="1" t="s">
        <v>4</v>
      </c>
      <c r="C234" s="1"/>
      <c r="D234" s="1"/>
      <c r="E234" s="1"/>
      <c r="F234" s="3">
        <f>VLOOKUP("   LA, M",'[1]Raw Data'!$B$2:$O$102,3,FALSE)</f>
        <v>32</v>
      </c>
      <c r="G234" s="3"/>
      <c r="H234" s="3"/>
      <c r="I234" s="3">
        <f>VLOOKUP("   LA, M",'[1]Raw Data'!$B$2:$O$102,4,FALSE)</f>
        <v>50</v>
      </c>
      <c r="J234" s="3"/>
      <c r="K234" s="3"/>
      <c r="L234" s="3">
        <f>VLOOKUP("   LA, M",'[1]Raw Data'!$B$2:$O$102,5,FALSE)</f>
        <v>40</v>
      </c>
      <c r="M234" s="3"/>
      <c r="N234" s="3"/>
      <c r="O234" s="3">
        <f>VLOOKUP("   LA, M",'[1]Raw Data'!$B$2:$O$102,6,FALSE)</f>
        <v>42</v>
      </c>
    </row>
    <row r="235" spans="1:15" ht="13.5" customHeight="1" x14ac:dyDescent="0.3">
      <c r="A235" s="1"/>
      <c r="B235" s="1" t="s">
        <v>3</v>
      </c>
      <c r="C235" s="1"/>
      <c r="D235" s="1"/>
      <c r="E235" s="1"/>
      <c r="F235" s="3">
        <f>VLOOKUP("   LA, M",'[1]Raw Data'!$B$2:$O$102,7,FALSE)</f>
        <v>13</v>
      </c>
      <c r="G235" s="3"/>
      <c r="H235" s="3"/>
      <c r="I235" s="3">
        <f>VLOOKUP("   LA, M",'[1]Raw Data'!$B$2:$O$102,8,FALSE)</f>
        <v>14</v>
      </c>
      <c r="J235" s="3"/>
      <c r="K235" s="3"/>
      <c r="L235" s="3">
        <f>VLOOKUP("   LA, M",'[1]Raw Data'!$B$2:$O$102,9,FALSE)</f>
        <v>17</v>
      </c>
      <c r="M235" s="3"/>
      <c r="N235" s="3"/>
      <c r="O235" s="3">
        <f>VLOOKUP("   LA, M",'[1]Raw Data'!$B$2:$O$102,10,FALSE)</f>
        <v>10</v>
      </c>
    </row>
    <row r="236" spans="1:15" ht="13.5" customHeight="1" x14ac:dyDescent="0.3">
      <c r="A236" s="1"/>
      <c r="B236" s="1" t="s">
        <v>2</v>
      </c>
      <c r="C236" s="1"/>
      <c r="D236" s="1"/>
      <c r="E236" s="1"/>
      <c r="F236" s="3">
        <f>VLOOKUP("   LA, M",'[1]Raw Data'!$B$2:$O$102,11,FALSE)</f>
        <v>49</v>
      </c>
      <c r="G236" s="3"/>
      <c r="H236" s="3"/>
      <c r="I236" s="3">
        <f>VLOOKUP("   LA, M",'[1]Raw Data'!$B$2:$O$102,12,FALSE)</f>
        <v>30</v>
      </c>
      <c r="J236" s="3"/>
      <c r="K236" s="3"/>
      <c r="L236" s="3">
        <f>VLOOKUP("   LA, M",'[1]Raw Data'!$B$2:$O$102,13,FALSE)</f>
        <v>32</v>
      </c>
      <c r="M236" s="3"/>
      <c r="N236" s="3"/>
      <c r="O236" s="3">
        <f>VLOOKUP("   LA, M",'[1]Raw Data'!$B$2:$O$102,14,FALSE)</f>
        <v>47</v>
      </c>
    </row>
    <row r="237" spans="1:15" ht="12" customHeight="1" x14ac:dyDescent="0.3"/>
    <row r="238" spans="1:15" ht="13.5" customHeight="1" x14ac:dyDescent="0.3">
      <c r="A238" s="1"/>
      <c r="B238" s="1"/>
      <c r="C238" s="5" t="str">
        <f>IF(VLOOKUP("   LA, W",'[1]Raw Data'!$B$2:$O$102,2,FALSE)="CDO","LA, W"&amp;" "&amp;CHAR(178),"LA, W")</f>
        <v>LA, W</v>
      </c>
      <c r="D238" s="1"/>
      <c r="F238" s="4">
        <f>SUM(F239:F241)</f>
        <v>438</v>
      </c>
      <c r="G238" s="4"/>
      <c r="H238" s="4"/>
      <c r="I238" s="4">
        <f>SUM(I239:I241)</f>
        <v>372</v>
      </c>
      <c r="J238" s="4"/>
      <c r="K238" s="4"/>
      <c r="L238" s="4">
        <f>SUM(L239:L241)</f>
        <v>490</v>
      </c>
      <c r="M238" s="4"/>
      <c r="N238" s="4"/>
      <c r="O238" s="4">
        <f>SUM(O239:O241)</f>
        <v>321</v>
      </c>
    </row>
    <row r="239" spans="1:15" ht="13.5" customHeight="1" x14ac:dyDescent="0.3">
      <c r="A239" s="1"/>
      <c r="B239" s="1" t="s">
        <v>4</v>
      </c>
      <c r="C239" s="1"/>
      <c r="D239" s="1"/>
      <c r="E239" s="1"/>
      <c r="F239" s="3">
        <f>VLOOKUP("   LA, W",'[1]Raw Data'!$B$2:$O$102,3,FALSE)</f>
        <v>213</v>
      </c>
      <c r="G239" s="3"/>
      <c r="H239" s="3"/>
      <c r="I239" s="3">
        <f>VLOOKUP("   LA, W",'[1]Raw Data'!$B$2:$O$102,4,FALSE)</f>
        <v>196</v>
      </c>
      <c r="J239" s="3"/>
      <c r="K239" s="3"/>
      <c r="L239" s="3">
        <f>VLOOKUP("   LA, W",'[1]Raw Data'!$B$2:$O$102,5,FALSE)</f>
        <v>245</v>
      </c>
      <c r="M239" s="3"/>
      <c r="N239" s="3"/>
      <c r="O239" s="3">
        <f>VLOOKUP("   LA, W",'[1]Raw Data'!$B$2:$O$102,6,FALSE)</f>
        <v>165</v>
      </c>
    </row>
    <row r="240" spans="1:15" ht="13.5" customHeight="1" x14ac:dyDescent="0.3">
      <c r="A240" s="1"/>
      <c r="B240" s="1" t="s">
        <v>3</v>
      </c>
      <c r="C240" s="1"/>
      <c r="D240" s="1"/>
      <c r="E240" s="1"/>
      <c r="F240" s="3">
        <f>VLOOKUP("   LA, W",'[1]Raw Data'!$B$2:$O$102,7,FALSE)</f>
        <v>65</v>
      </c>
      <c r="G240" s="3"/>
      <c r="H240" s="3"/>
      <c r="I240" s="3">
        <f>VLOOKUP("   LA, W",'[1]Raw Data'!$B$2:$O$102,8,FALSE)</f>
        <v>28</v>
      </c>
      <c r="J240" s="3"/>
      <c r="K240" s="3"/>
      <c r="L240" s="3">
        <f>VLOOKUP("   LA, W",'[1]Raw Data'!$B$2:$O$102,9,FALSE)</f>
        <v>55</v>
      </c>
      <c r="M240" s="3"/>
      <c r="N240" s="3"/>
      <c r="O240" s="3">
        <f>VLOOKUP("   LA, W",'[1]Raw Data'!$B$2:$O$102,10,FALSE)</f>
        <v>38</v>
      </c>
    </row>
    <row r="241" spans="1:16" ht="13.5" customHeight="1" x14ac:dyDescent="0.3">
      <c r="A241" s="1"/>
      <c r="B241" s="1" t="s">
        <v>2</v>
      </c>
      <c r="C241" s="1"/>
      <c r="D241" s="1"/>
      <c r="E241" s="1"/>
      <c r="F241" s="3">
        <f>VLOOKUP("   LA, W",'[1]Raw Data'!$B$2:$O$102,11,FALSE)</f>
        <v>160</v>
      </c>
      <c r="G241" s="3"/>
      <c r="H241" s="3"/>
      <c r="I241" s="3">
        <f>VLOOKUP("   LA, W",'[1]Raw Data'!$B$2:$O$102,12,FALSE)</f>
        <v>148</v>
      </c>
      <c r="J241" s="3"/>
      <c r="K241" s="3"/>
      <c r="L241" s="3">
        <f>VLOOKUP("   LA, W",'[1]Raw Data'!$B$2:$O$102,13,FALSE)</f>
        <v>190</v>
      </c>
      <c r="M241" s="3"/>
      <c r="N241" s="3"/>
      <c r="O241" s="3">
        <f>VLOOKUP("   LA, W",'[1]Raw Data'!$B$2:$O$102,14,FALSE)</f>
        <v>118</v>
      </c>
    </row>
    <row r="242" spans="1:16" ht="12" customHeight="1" x14ac:dyDescent="0.3"/>
    <row r="243" spans="1:16" ht="13.5" customHeight="1" x14ac:dyDescent="0.3">
      <c r="A243" s="1"/>
      <c r="B243" s="1"/>
      <c r="C243" s="5" t="str">
        <f>IF(VLOOKUP("TOT: MA/NH/RI",'[1]Raw Data'!$B$2:$O$102,2,FALSE)="CDO","TOT: MA/NH/RI"&amp;" "&amp;CHAR(178),"TOT: MA/NH/RI")</f>
        <v>TOT: MA/NH/RI</v>
      </c>
      <c r="D243" s="1"/>
      <c r="F243" s="4">
        <f>IF(SUM(F244:F246)-SUM(F248,F260,F265)=0,SUM(F244:F246),"ERROR")</f>
        <v>725</v>
      </c>
      <c r="G243" s="4"/>
      <c r="H243" s="4"/>
      <c r="I243" s="4">
        <f>IF(SUM(I244:I246)-SUM(I248,I260,I265)=0,SUM(I244:I246),"ERROR")</f>
        <v>704</v>
      </c>
      <c r="J243" s="4"/>
      <c r="K243" s="4"/>
      <c r="L243" s="4">
        <f>IF(SUM(L244:L246)-SUM(L248,L260,L265)=0,SUM(L244:L246),"ERROR")</f>
        <v>770</v>
      </c>
      <c r="M243" s="4"/>
      <c r="N243" s="4"/>
      <c r="O243" s="4">
        <f>IF(SUM(O244:O246)-SUM(O248,O260,O265)=0,SUM(O244:O246),"ERROR")</f>
        <v>661</v>
      </c>
    </row>
    <row r="244" spans="1:16" ht="13.5" customHeight="1" x14ac:dyDescent="0.3">
      <c r="A244" s="1"/>
      <c r="B244" s="1" t="s">
        <v>4</v>
      </c>
      <c r="C244" s="1"/>
      <c r="D244" s="1"/>
      <c r="E244" s="1"/>
      <c r="F244" s="3">
        <f>VLOOKUP("TOT: MA/NH/RI",'[1]Raw Data'!$B$2:$O$102,3,FALSE)</f>
        <v>462</v>
      </c>
      <c r="G244" s="3"/>
      <c r="H244" s="3"/>
      <c r="I244" s="3">
        <f>VLOOKUP("TOT: MA/NH/RI",'[1]Raw Data'!$B$2:$O$102,4,FALSE)</f>
        <v>344</v>
      </c>
      <c r="J244" s="3"/>
      <c r="K244" s="3"/>
      <c r="L244" s="3">
        <f>VLOOKUP("TOT: MA/NH/RI",'[1]Raw Data'!$B$2:$O$102,5,FALSE)</f>
        <v>405</v>
      </c>
      <c r="M244" s="3"/>
      <c r="N244" s="3"/>
      <c r="O244" s="3">
        <f>VLOOKUP("TOT: MA/NH/RI",'[1]Raw Data'!$B$2:$O$102,6,FALSE)</f>
        <v>402</v>
      </c>
    </row>
    <row r="245" spans="1:16" ht="13.5" customHeight="1" x14ac:dyDescent="0.3">
      <c r="A245" s="1"/>
      <c r="B245" s="1" t="s">
        <v>3</v>
      </c>
      <c r="C245" s="1"/>
      <c r="D245" s="1"/>
      <c r="E245" s="1"/>
      <c r="F245" s="3">
        <f>VLOOKUP("TOT: MA/NH/RI",'[1]Raw Data'!$B$2:$O$102,7,FALSE)</f>
        <v>33</v>
      </c>
      <c r="G245" s="3"/>
      <c r="H245" s="3"/>
      <c r="I245" s="3">
        <f>VLOOKUP("TOT: MA/NH/RI",'[1]Raw Data'!$B$2:$O$102,8,FALSE)</f>
        <v>31</v>
      </c>
      <c r="J245" s="3"/>
      <c r="K245" s="3"/>
      <c r="L245" s="3">
        <f>VLOOKUP("TOT: MA/NH/RI",'[1]Raw Data'!$B$2:$O$102,9,FALSE)</f>
        <v>30</v>
      </c>
      <c r="M245" s="3"/>
      <c r="N245" s="3"/>
      <c r="O245" s="3">
        <f>VLOOKUP("TOT: MA/NH/RI",'[1]Raw Data'!$B$2:$O$102,10,FALSE)</f>
        <v>34</v>
      </c>
    </row>
    <row r="246" spans="1:16" ht="13.5" customHeight="1" x14ac:dyDescent="0.3">
      <c r="A246" s="1"/>
      <c r="B246" s="1" t="s">
        <v>2</v>
      </c>
      <c r="C246" s="1"/>
      <c r="D246" s="1"/>
      <c r="E246" s="1"/>
      <c r="F246" s="3">
        <f>VLOOKUP("TOT: MA/NH/RI",'[1]Raw Data'!$B$2:$O$102,11,FALSE)</f>
        <v>230</v>
      </c>
      <c r="G246" s="3"/>
      <c r="H246" s="3"/>
      <c r="I246" s="3">
        <f>VLOOKUP("TOT: MA/NH/RI",'[1]Raw Data'!$B$2:$O$102,12,FALSE)</f>
        <v>329</v>
      </c>
      <c r="J246" s="3"/>
      <c r="K246" s="3"/>
      <c r="L246" s="3">
        <f>VLOOKUP("TOT: MA/NH/RI",'[1]Raw Data'!$B$2:$O$102,13,FALSE)</f>
        <v>335</v>
      </c>
      <c r="M246" s="3"/>
      <c r="N246" s="3"/>
      <c r="O246" s="3">
        <f>VLOOKUP("TOT: MA/NH/RI",'[1]Raw Data'!$B$2:$O$102,14,FALSE)</f>
        <v>225</v>
      </c>
    </row>
    <row r="247" spans="1:16" ht="12" customHeight="1" x14ac:dyDescent="0.3"/>
    <row r="248" spans="1:16" ht="13.5" customHeight="1" x14ac:dyDescent="0.3">
      <c r="A248" s="1"/>
      <c r="B248" s="1"/>
      <c r="C248" s="5" t="str">
        <f>IF(VLOOKUP("   MA",'[1]Raw Data'!$B$2:$O$102,2,FALSE)="CDO","MA"&amp;" "&amp;CHAR(178),"MA")</f>
        <v>MA</v>
      </c>
      <c r="D248" s="1"/>
      <c r="F248" s="4">
        <f>SUM(F249:F251)</f>
        <v>482</v>
      </c>
      <c r="G248" s="4"/>
      <c r="H248" s="4"/>
      <c r="I248" s="4">
        <f>SUM(I249:I251)</f>
        <v>423</v>
      </c>
      <c r="J248" s="4"/>
      <c r="K248" s="4"/>
      <c r="L248" s="4">
        <f>SUM(L249:L251)</f>
        <v>483</v>
      </c>
      <c r="M248" s="4"/>
      <c r="N248" s="4"/>
      <c r="O248" s="4">
        <f>SUM(O249:O251)</f>
        <v>422</v>
      </c>
    </row>
    <row r="249" spans="1:16" ht="13.5" customHeight="1" x14ac:dyDescent="0.3">
      <c r="A249" s="1"/>
      <c r="B249" s="1" t="s">
        <v>4</v>
      </c>
      <c r="C249" s="1"/>
      <c r="D249" s="1"/>
      <c r="E249" s="1"/>
      <c r="F249" s="3">
        <f>VLOOKUP("   MA",'[1]Raw Data'!$B$2:$O$102,3,FALSE)</f>
        <v>292</v>
      </c>
      <c r="G249" s="3"/>
      <c r="H249" s="3"/>
      <c r="I249" s="3">
        <f>VLOOKUP("   MA",'[1]Raw Data'!$B$2:$O$102,4,FALSE)</f>
        <v>194</v>
      </c>
      <c r="J249" s="3"/>
      <c r="K249" s="3"/>
      <c r="L249" s="3">
        <f>VLOOKUP("   MA",'[1]Raw Data'!$B$2:$O$102,5,FALSE)</f>
        <v>235</v>
      </c>
      <c r="M249" s="3"/>
      <c r="N249" s="3"/>
      <c r="O249" s="3">
        <f>VLOOKUP("   MA",'[1]Raw Data'!$B$2:$O$102,6,FALSE)</f>
        <v>251</v>
      </c>
    </row>
    <row r="250" spans="1:16" ht="13.5" customHeight="1" x14ac:dyDescent="0.3">
      <c r="A250" s="1"/>
      <c r="B250" s="1" t="s">
        <v>3</v>
      </c>
      <c r="C250" s="1"/>
      <c r="D250" s="1"/>
      <c r="E250" s="1"/>
      <c r="F250" s="3">
        <f>VLOOKUP("   MA",'[1]Raw Data'!$B$2:$O$102,7,FALSE)</f>
        <v>22</v>
      </c>
      <c r="G250" s="3"/>
      <c r="H250" s="3"/>
      <c r="I250" s="3">
        <f>VLOOKUP("   MA",'[1]Raw Data'!$B$2:$O$102,8,FALSE)</f>
        <v>30</v>
      </c>
      <c r="J250" s="3"/>
      <c r="K250" s="3"/>
      <c r="L250" s="3">
        <f>VLOOKUP("   MA",'[1]Raw Data'!$B$2:$O$102,9,FALSE)</f>
        <v>22</v>
      </c>
      <c r="M250" s="3"/>
      <c r="N250" s="3"/>
      <c r="O250" s="3">
        <f>VLOOKUP("   MA",'[1]Raw Data'!$B$2:$O$102,10,FALSE)</f>
        <v>30</v>
      </c>
    </row>
    <row r="251" spans="1:16" ht="13.5" customHeight="1" x14ac:dyDescent="0.3">
      <c r="A251" s="1"/>
      <c r="B251" s="1" t="s">
        <v>2</v>
      </c>
      <c r="C251" s="1"/>
      <c r="D251" s="1"/>
      <c r="E251" s="1"/>
      <c r="F251" s="3">
        <f>VLOOKUP("   MA",'[1]Raw Data'!$B$2:$O$102,11,FALSE)</f>
        <v>168</v>
      </c>
      <c r="G251" s="3"/>
      <c r="H251" s="3"/>
      <c r="I251" s="3">
        <f>VLOOKUP("   MA",'[1]Raw Data'!$B$2:$O$102,12,FALSE)</f>
        <v>199</v>
      </c>
      <c r="J251" s="3"/>
      <c r="K251" s="3"/>
      <c r="L251" s="3">
        <f>VLOOKUP("   MA",'[1]Raw Data'!$B$2:$O$102,13,FALSE)</f>
        <v>226</v>
      </c>
      <c r="M251" s="3"/>
      <c r="N251" s="3"/>
      <c r="O251" s="3">
        <f>VLOOKUP("   MA",'[1]Raw Data'!$B$2:$O$102,14,FALSE)</f>
        <v>141</v>
      </c>
    </row>
    <row r="252" spans="1:16" ht="12" customHeight="1" x14ac:dyDescent="0.3">
      <c r="A252" s="1"/>
      <c r="B252" s="1"/>
      <c r="C252" s="1"/>
      <c r="D252" s="1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6" ht="12" customHeight="1" x14ac:dyDescent="0.3"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6" ht="15" customHeight="1" x14ac:dyDescent="0.3">
      <c r="A254" s="7" t="str">
        <f>"Table K-1. (September 30, "&amp;'[1]Raw Data'!$A$2&amp;"—Continued)"</f>
        <v>Table K-1. (September 30, 2022—Continued)</v>
      </c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6" ht="12" customHeight="1" x14ac:dyDescent="0.3"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6" ht="15" customHeight="1" x14ac:dyDescent="0.3">
      <c r="A256" s="11" t="s">
        <v>12</v>
      </c>
      <c r="B256" s="11"/>
      <c r="C256" s="11"/>
      <c r="D256" s="12"/>
      <c r="E256" s="10" t="s">
        <v>10</v>
      </c>
      <c r="F256" s="11"/>
      <c r="G256" s="12"/>
      <c r="H256" s="10" t="s">
        <v>11</v>
      </c>
      <c r="I256" s="11"/>
      <c r="J256" s="12"/>
      <c r="K256" s="10" t="s">
        <v>11</v>
      </c>
      <c r="L256" s="11"/>
      <c r="M256" s="12"/>
      <c r="N256" s="10" t="s">
        <v>10</v>
      </c>
      <c r="O256" s="11"/>
      <c r="P256" s="11"/>
    </row>
    <row r="257" spans="1:16" ht="13.5" customHeight="1" x14ac:dyDescent="0.3">
      <c r="A257" s="14" t="s">
        <v>9</v>
      </c>
      <c r="B257" s="14"/>
      <c r="C257" s="14"/>
      <c r="D257" s="15"/>
      <c r="E257" s="13" t="s">
        <v>8</v>
      </c>
      <c r="F257" s="14"/>
      <c r="G257" s="15"/>
      <c r="H257" s="13" t="s">
        <v>7</v>
      </c>
      <c r="I257" s="14"/>
      <c r="J257" s="15"/>
      <c r="K257" s="13" t="s">
        <v>6</v>
      </c>
      <c r="L257" s="14"/>
      <c r="M257" s="15"/>
      <c r="N257" s="13" t="s">
        <v>5</v>
      </c>
      <c r="O257" s="14"/>
      <c r="P257" s="14"/>
    </row>
    <row r="258" spans="1:16" ht="3.7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3.5" customHeight="1" x14ac:dyDescent="0.3"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6" ht="13.5" customHeight="1" x14ac:dyDescent="0.3">
      <c r="A260" s="1"/>
      <c r="B260" s="1"/>
      <c r="C260" s="5" t="str">
        <f>IF(VLOOKUP("   NH",'[1]Raw Data'!$B$2:$O$102,2,FALSE)="CDO","NH"&amp;" "&amp;CHAR(178),"NH")</f>
        <v>NH</v>
      </c>
      <c r="D260" s="1"/>
      <c r="F260" s="4">
        <f>SUM(F261:F263)</f>
        <v>126</v>
      </c>
      <c r="G260" s="4"/>
      <c r="H260" s="4"/>
      <c r="I260" s="4">
        <f>SUM(I261:I263)</f>
        <v>187</v>
      </c>
      <c r="J260" s="4"/>
      <c r="K260" s="4"/>
      <c r="L260" s="4">
        <f>SUM(L261:L263)</f>
        <v>188</v>
      </c>
      <c r="M260" s="4"/>
      <c r="N260" s="4"/>
      <c r="O260" s="4">
        <f>SUM(O261:O263)</f>
        <v>128</v>
      </c>
    </row>
    <row r="261" spans="1:16" ht="13.5" customHeight="1" x14ac:dyDescent="0.3">
      <c r="A261" s="1"/>
      <c r="B261" s="1" t="s">
        <v>4</v>
      </c>
      <c r="C261" s="1"/>
      <c r="D261" s="1"/>
      <c r="E261" s="1"/>
      <c r="F261" s="3">
        <f>VLOOKUP("   NH",'[1]Raw Data'!$B$2:$O$102,3,FALSE)</f>
        <v>91</v>
      </c>
      <c r="G261" s="3"/>
      <c r="H261" s="3"/>
      <c r="I261" s="3">
        <f>VLOOKUP("   NH",'[1]Raw Data'!$B$2:$O$102,4,FALSE)</f>
        <v>97</v>
      </c>
      <c r="J261" s="3"/>
      <c r="K261" s="3"/>
      <c r="L261" s="3">
        <f>VLOOKUP("   NH",'[1]Raw Data'!$B$2:$O$102,5,FALSE)</f>
        <v>113</v>
      </c>
      <c r="M261" s="3"/>
      <c r="N261" s="3"/>
      <c r="O261" s="3">
        <f>VLOOKUP("   NH",'[1]Raw Data'!$B$2:$O$102,6,FALSE)</f>
        <v>77</v>
      </c>
    </row>
    <row r="262" spans="1:16" ht="13.5" customHeight="1" x14ac:dyDescent="0.3">
      <c r="A262" s="1"/>
      <c r="B262" s="1" t="s">
        <v>3</v>
      </c>
      <c r="C262" s="1"/>
      <c r="D262" s="1"/>
      <c r="E262" s="1"/>
      <c r="F262" s="3">
        <f>VLOOKUP("   NH",'[1]Raw Data'!$B$2:$O$102,7,FALSE)</f>
        <v>8</v>
      </c>
      <c r="G262" s="3"/>
      <c r="H262" s="3"/>
      <c r="I262" s="3">
        <f>VLOOKUP("   NH",'[1]Raw Data'!$B$2:$O$102,8,FALSE)</f>
        <v>1</v>
      </c>
      <c r="J262" s="3"/>
      <c r="K262" s="3"/>
      <c r="L262" s="3">
        <f>VLOOKUP("   NH",'[1]Raw Data'!$B$2:$O$102,9,FALSE)</f>
        <v>6</v>
      </c>
      <c r="M262" s="3"/>
      <c r="N262" s="3"/>
      <c r="O262" s="3">
        <f>VLOOKUP("   NH",'[1]Raw Data'!$B$2:$O$102,10,FALSE)</f>
        <v>3</v>
      </c>
    </row>
    <row r="263" spans="1:16" ht="13.5" customHeight="1" x14ac:dyDescent="0.3">
      <c r="A263" s="1"/>
      <c r="B263" s="1" t="s">
        <v>2</v>
      </c>
      <c r="C263" s="1"/>
      <c r="D263" s="1"/>
      <c r="E263" s="1"/>
      <c r="F263" s="3">
        <f>VLOOKUP("   NH",'[1]Raw Data'!$B$2:$O$102,11,FALSE)</f>
        <v>27</v>
      </c>
      <c r="G263" s="3"/>
      <c r="H263" s="3"/>
      <c r="I263" s="3">
        <f>VLOOKUP("   NH",'[1]Raw Data'!$B$2:$O$102,12,FALSE)</f>
        <v>89</v>
      </c>
      <c r="J263" s="3"/>
      <c r="K263" s="3"/>
      <c r="L263" s="3">
        <f>VLOOKUP("   NH",'[1]Raw Data'!$B$2:$O$102,13,FALSE)</f>
        <v>69</v>
      </c>
      <c r="M263" s="3"/>
      <c r="N263" s="3"/>
      <c r="O263" s="3">
        <f>VLOOKUP("   NH",'[1]Raw Data'!$B$2:$O$102,14,FALSE)</f>
        <v>48</v>
      </c>
    </row>
    <row r="264" spans="1:16" ht="12" customHeight="1" x14ac:dyDescent="0.3"/>
    <row r="265" spans="1:16" ht="13.5" customHeight="1" x14ac:dyDescent="0.3">
      <c r="A265" s="1"/>
      <c r="B265" s="1"/>
      <c r="C265" s="5" t="str">
        <f>IF(VLOOKUP("   RI",'[1]Raw Data'!$B$2:$O$102,2,FALSE)="CDO","RI"&amp;" "&amp;CHAR(178),"RI")</f>
        <v>RI</v>
      </c>
      <c r="D265" s="1"/>
      <c r="F265" s="4">
        <f>SUM(F266:F268)</f>
        <v>117</v>
      </c>
      <c r="G265" s="4"/>
      <c r="H265" s="4"/>
      <c r="I265" s="4">
        <f>SUM(I266:I268)</f>
        <v>94</v>
      </c>
      <c r="J265" s="4"/>
      <c r="K265" s="4"/>
      <c r="L265" s="4">
        <f>SUM(L266:L268)</f>
        <v>99</v>
      </c>
      <c r="M265" s="4"/>
      <c r="N265" s="4"/>
      <c r="O265" s="4">
        <f>SUM(O266:O268)</f>
        <v>111</v>
      </c>
    </row>
    <row r="266" spans="1:16" ht="13.5" customHeight="1" x14ac:dyDescent="0.3">
      <c r="A266" s="1"/>
      <c r="B266" s="1" t="s">
        <v>4</v>
      </c>
      <c r="C266" s="1"/>
      <c r="D266" s="1"/>
      <c r="E266" s="1"/>
      <c r="F266" s="3">
        <f>VLOOKUP("   RI",'[1]Raw Data'!$B$2:$O$102,3,FALSE)</f>
        <v>79</v>
      </c>
      <c r="G266" s="3"/>
      <c r="H266" s="3"/>
      <c r="I266" s="3">
        <f>VLOOKUP("   RI",'[1]Raw Data'!$B$2:$O$102,4,FALSE)</f>
        <v>53</v>
      </c>
      <c r="J266" s="3"/>
      <c r="K266" s="3"/>
      <c r="L266" s="3">
        <f>VLOOKUP("   RI",'[1]Raw Data'!$B$2:$O$102,5,FALSE)</f>
        <v>57</v>
      </c>
      <c r="M266" s="3"/>
      <c r="N266" s="3"/>
      <c r="O266" s="3">
        <f>VLOOKUP("   RI",'[1]Raw Data'!$B$2:$O$102,6,FALSE)</f>
        <v>74</v>
      </c>
    </row>
    <row r="267" spans="1:16" ht="13.5" customHeight="1" x14ac:dyDescent="0.3">
      <c r="A267" s="1"/>
      <c r="B267" s="1" t="s">
        <v>3</v>
      </c>
      <c r="C267" s="1"/>
      <c r="D267" s="1"/>
      <c r="E267" s="1"/>
      <c r="F267" s="3">
        <f>VLOOKUP("   RI",'[1]Raw Data'!$B$2:$O$102,7,FALSE)</f>
        <v>3</v>
      </c>
      <c r="G267" s="3"/>
      <c r="H267" s="3"/>
      <c r="I267" s="3">
        <f>VLOOKUP("   RI",'[1]Raw Data'!$B$2:$O$102,8,FALSE)</f>
        <v>0</v>
      </c>
      <c r="J267" s="3"/>
      <c r="K267" s="3"/>
      <c r="L267" s="3">
        <f>VLOOKUP("   RI",'[1]Raw Data'!$B$2:$O$102,9,FALSE)</f>
        <v>2</v>
      </c>
      <c r="M267" s="3"/>
      <c r="N267" s="3"/>
      <c r="O267" s="3">
        <f>VLOOKUP("   RI",'[1]Raw Data'!$B$2:$O$102,10,FALSE)</f>
        <v>1</v>
      </c>
    </row>
    <row r="268" spans="1:16" ht="13.5" customHeight="1" x14ac:dyDescent="0.3">
      <c r="A268" s="1"/>
      <c r="B268" s="1" t="s">
        <v>2</v>
      </c>
      <c r="C268" s="1"/>
      <c r="D268" s="1"/>
      <c r="E268" s="1"/>
      <c r="F268" s="3">
        <f>VLOOKUP("   RI",'[1]Raw Data'!$B$2:$O$102,11,FALSE)</f>
        <v>35</v>
      </c>
      <c r="G268" s="3"/>
      <c r="H268" s="3"/>
      <c r="I268" s="3">
        <f>VLOOKUP("   RI",'[1]Raw Data'!$B$2:$O$102,12,FALSE)</f>
        <v>41</v>
      </c>
      <c r="J268" s="3"/>
      <c r="K268" s="3"/>
      <c r="L268" s="3">
        <f>VLOOKUP("   RI",'[1]Raw Data'!$B$2:$O$102,13,FALSE)</f>
        <v>40</v>
      </c>
      <c r="M268" s="3"/>
      <c r="N268" s="3"/>
      <c r="O268" s="3">
        <f>VLOOKUP("   RI",'[1]Raw Data'!$B$2:$O$102,14,FALSE)</f>
        <v>36</v>
      </c>
    </row>
    <row r="269" spans="1:16" ht="12" customHeight="1" x14ac:dyDescent="0.3"/>
    <row r="270" spans="1:16" ht="13.5" customHeight="1" x14ac:dyDescent="0.3">
      <c r="A270" s="1"/>
      <c r="B270" s="1"/>
      <c r="C270" s="5" t="str">
        <f>IF(VLOOKUP("MD",'[1]Raw Data'!$B$2:$O$102,2,FALSE)="CDO","MD"&amp;" "&amp;CHAR(178),"MD")</f>
        <v>MD</v>
      </c>
      <c r="D270" s="1"/>
      <c r="F270" s="4">
        <f>SUM(F271:F273)</f>
        <v>1932</v>
      </c>
      <c r="G270" s="4"/>
      <c r="H270" s="4"/>
      <c r="I270" s="4">
        <f>SUM(I271:I273)</f>
        <v>1075</v>
      </c>
      <c r="J270" s="4"/>
      <c r="K270" s="4"/>
      <c r="L270" s="4">
        <f>SUM(L271:L273)</f>
        <v>2013</v>
      </c>
      <c r="M270" s="4"/>
      <c r="N270" s="4"/>
      <c r="O270" s="4">
        <f>SUM(O271:O273)</f>
        <v>994</v>
      </c>
    </row>
    <row r="271" spans="1:16" ht="13.5" customHeight="1" x14ac:dyDescent="0.3">
      <c r="A271" s="1"/>
      <c r="B271" s="1" t="s">
        <v>4</v>
      </c>
      <c r="C271" s="1"/>
      <c r="D271" s="1"/>
      <c r="E271" s="1"/>
      <c r="F271" s="3">
        <f>VLOOKUP("MD",'[1]Raw Data'!$B$2:$O$102,3,FALSE)</f>
        <v>621</v>
      </c>
      <c r="G271" s="3"/>
      <c r="H271" s="3"/>
      <c r="I271" s="3">
        <f>VLOOKUP("MD",'[1]Raw Data'!$B$2:$O$102,4,FALSE)</f>
        <v>678</v>
      </c>
      <c r="J271" s="3"/>
      <c r="K271" s="3"/>
      <c r="L271" s="3">
        <f>VLOOKUP("MD",'[1]Raw Data'!$B$2:$O$102,5,FALSE)</f>
        <v>815</v>
      </c>
      <c r="M271" s="3"/>
      <c r="N271" s="3"/>
      <c r="O271" s="3">
        <f>VLOOKUP("MD",'[1]Raw Data'!$B$2:$O$102,6,FALSE)</f>
        <v>484</v>
      </c>
    </row>
    <row r="272" spans="1:16" ht="13.5" customHeight="1" x14ac:dyDescent="0.3">
      <c r="A272" s="1"/>
      <c r="B272" s="1" t="s">
        <v>3</v>
      </c>
      <c r="C272" s="1"/>
      <c r="D272" s="1"/>
      <c r="E272" s="1"/>
      <c r="F272" s="3">
        <f>VLOOKUP("MD",'[1]Raw Data'!$B$2:$O$102,7,FALSE)</f>
        <v>300</v>
      </c>
      <c r="G272" s="3"/>
      <c r="H272" s="3"/>
      <c r="I272" s="3">
        <f>VLOOKUP("MD",'[1]Raw Data'!$B$2:$O$102,8,FALSE)</f>
        <v>34</v>
      </c>
      <c r="J272" s="3"/>
      <c r="K272" s="3"/>
      <c r="L272" s="3">
        <f>VLOOKUP("MD",'[1]Raw Data'!$B$2:$O$102,9,FALSE)</f>
        <v>224</v>
      </c>
      <c r="M272" s="3"/>
      <c r="N272" s="3"/>
      <c r="O272" s="3">
        <f>VLOOKUP("MD",'[1]Raw Data'!$B$2:$O$102,10,FALSE)</f>
        <v>110</v>
      </c>
    </row>
    <row r="273" spans="1:15" ht="13.5" customHeight="1" x14ac:dyDescent="0.3">
      <c r="A273" s="1"/>
      <c r="B273" s="1" t="s">
        <v>2</v>
      </c>
      <c r="C273" s="1"/>
      <c r="D273" s="1"/>
      <c r="E273" s="1"/>
      <c r="F273" s="3">
        <f>VLOOKUP("MD",'[1]Raw Data'!$B$2:$O$102,11,FALSE)</f>
        <v>1011</v>
      </c>
      <c r="G273" s="3"/>
      <c r="H273" s="3"/>
      <c r="I273" s="3">
        <f>VLOOKUP("MD",'[1]Raw Data'!$B$2:$O$102,12,FALSE)</f>
        <v>363</v>
      </c>
      <c r="J273" s="3"/>
      <c r="K273" s="3"/>
      <c r="L273" s="3">
        <f>VLOOKUP("MD",'[1]Raw Data'!$B$2:$O$102,13,FALSE)</f>
        <v>974</v>
      </c>
      <c r="M273" s="3"/>
      <c r="N273" s="3"/>
      <c r="O273" s="3">
        <f>VLOOKUP("MD",'[1]Raw Data'!$B$2:$O$102,14,FALSE)</f>
        <v>400</v>
      </c>
    </row>
    <row r="274" spans="1:15" ht="12" customHeight="1" x14ac:dyDescent="0.3"/>
    <row r="275" spans="1:15" ht="13.5" customHeight="1" x14ac:dyDescent="0.3">
      <c r="A275" s="1"/>
      <c r="B275" s="1"/>
      <c r="C275" s="5" t="str">
        <f>IF(VLOOKUP("ME",'[1]Raw Data'!$B$2:$O$102,2,FALSE)="CDO","ME"&amp;" "&amp;CHAR(178),"ME")</f>
        <v>ME</v>
      </c>
      <c r="D275" s="1"/>
      <c r="F275" s="4">
        <f>SUM(F276:F278)</f>
        <v>100</v>
      </c>
      <c r="G275" s="4"/>
      <c r="H275" s="4"/>
      <c r="I275" s="4">
        <f>SUM(I276:I278)</f>
        <v>110</v>
      </c>
      <c r="J275" s="4"/>
      <c r="K275" s="4"/>
      <c r="L275" s="4">
        <f>SUM(L276:L278)</f>
        <v>130</v>
      </c>
      <c r="M275" s="4"/>
      <c r="N275" s="4"/>
      <c r="O275" s="4">
        <f>SUM(O276:O278)</f>
        <v>80</v>
      </c>
    </row>
    <row r="276" spans="1:15" ht="13.5" customHeight="1" x14ac:dyDescent="0.3">
      <c r="A276" s="1"/>
      <c r="B276" s="1" t="s">
        <v>4</v>
      </c>
      <c r="C276" s="1"/>
      <c r="D276" s="1"/>
      <c r="E276" s="1"/>
      <c r="F276" s="3">
        <f>VLOOKUP("ME",'[1]Raw Data'!$B$2:$O$102,3,FALSE)</f>
        <v>74</v>
      </c>
      <c r="G276" s="3"/>
      <c r="H276" s="3"/>
      <c r="I276" s="3">
        <f>VLOOKUP("ME",'[1]Raw Data'!$B$2:$O$102,4,FALSE)</f>
        <v>56</v>
      </c>
      <c r="J276" s="3"/>
      <c r="K276" s="3"/>
      <c r="L276" s="3">
        <f>VLOOKUP("ME",'[1]Raw Data'!$B$2:$O$102,5,FALSE)</f>
        <v>78</v>
      </c>
      <c r="M276" s="3"/>
      <c r="N276" s="3"/>
      <c r="O276" s="3">
        <f>VLOOKUP("ME",'[1]Raw Data'!$B$2:$O$102,6,FALSE)</f>
        <v>52</v>
      </c>
    </row>
    <row r="277" spans="1:15" ht="13.5" customHeight="1" x14ac:dyDescent="0.3">
      <c r="A277" s="1"/>
      <c r="B277" s="1" t="s">
        <v>3</v>
      </c>
      <c r="C277" s="1"/>
      <c r="D277" s="1"/>
      <c r="E277" s="1"/>
      <c r="F277" s="3">
        <f>VLOOKUP("ME",'[1]Raw Data'!$B$2:$O$102,7,FALSE)</f>
        <v>1</v>
      </c>
      <c r="G277" s="3"/>
      <c r="H277" s="3"/>
      <c r="I277" s="3">
        <f>VLOOKUP("ME",'[1]Raw Data'!$B$2:$O$102,8,FALSE)</f>
        <v>3</v>
      </c>
      <c r="J277" s="3"/>
      <c r="K277" s="3"/>
      <c r="L277" s="3">
        <f>VLOOKUP("ME",'[1]Raw Data'!$B$2:$O$102,9,FALSE)</f>
        <v>3</v>
      </c>
      <c r="M277" s="3"/>
      <c r="N277" s="3"/>
      <c r="O277" s="3">
        <f>VLOOKUP("ME",'[1]Raw Data'!$B$2:$O$102,10,FALSE)</f>
        <v>1</v>
      </c>
    </row>
    <row r="278" spans="1:15" ht="13.5" customHeight="1" x14ac:dyDescent="0.3">
      <c r="A278" s="1"/>
      <c r="B278" s="1" t="s">
        <v>2</v>
      </c>
      <c r="C278" s="1"/>
      <c r="D278" s="1"/>
      <c r="E278" s="1"/>
      <c r="F278" s="3">
        <f>VLOOKUP("ME",'[1]Raw Data'!$B$2:$O$102,11,FALSE)</f>
        <v>25</v>
      </c>
      <c r="G278" s="3"/>
      <c r="H278" s="3"/>
      <c r="I278" s="3">
        <f>VLOOKUP("ME",'[1]Raw Data'!$B$2:$O$102,12,FALSE)</f>
        <v>51</v>
      </c>
      <c r="J278" s="3"/>
      <c r="K278" s="3"/>
      <c r="L278" s="3">
        <f>VLOOKUP("ME",'[1]Raw Data'!$B$2:$O$102,13,FALSE)</f>
        <v>49</v>
      </c>
      <c r="M278" s="3"/>
      <c r="N278" s="3"/>
      <c r="O278" s="3">
        <f>VLOOKUP("ME",'[1]Raw Data'!$B$2:$O$102,14,FALSE)</f>
        <v>27</v>
      </c>
    </row>
    <row r="279" spans="1:15" ht="12" customHeight="1" x14ac:dyDescent="0.3"/>
    <row r="280" spans="1:15" ht="13.5" customHeight="1" x14ac:dyDescent="0.3">
      <c r="A280" s="1"/>
      <c r="B280" s="1"/>
      <c r="C280" s="5" t="str">
        <f>IF(VLOOKUP("MI, E",'[1]Raw Data'!$B$2:$O$102,2,FALSE)="CDO","MI, E"&amp;" "&amp;CHAR(178),"MI, E")</f>
        <v>MI, E ²</v>
      </c>
      <c r="D280" s="1"/>
      <c r="F280" s="4">
        <f>SUM(F281:F283)</f>
        <v>616</v>
      </c>
      <c r="G280" s="4"/>
      <c r="H280" s="4"/>
      <c r="I280" s="4">
        <f>SUM(I281:I283)</f>
        <v>886</v>
      </c>
      <c r="J280" s="4"/>
      <c r="K280" s="4"/>
      <c r="L280" s="4">
        <f>SUM(L281:L283)</f>
        <v>1003</v>
      </c>
      <c r="M280" s="4"/>
      <c r="N280" s="4"/>
      <c r="O280" s="4">
        <f>SUM(O281:O283)</f>
        <v>500</v>
      </c>
    </row>
    <row r="281" spans="1:15" ht="13.5" customHeight="1" x14ac:dyDescent="0.3">
      <c r="A281" s="1"/>
      <c r="B281" s="1" t="s">
        <v>4</v>
      </c>
      <c r="C281" s="1"/>
      <c r="D281" s="1"/>
      <c r="E281" s="1"/>
      <c r="F281" s="3">
        <f>VLOOKUP("MI, E",'[1]Raw Data'!$B$2:$O$102,3,FALSE)</f>
        <v>354</v>
      </c>
      <c r="G281" s="3"/>
      <c r="H281" s="3"/>
      <c r="I281" s="3">
        <f>VLOOKUP("MI, E",'[1]Raw Data'!$B$2:$O$102,4,FALSE)</f>
        <v>393</v>
      </c>
      <c r="J281" s="3"/>
      <c r="K281" s="3"/>
      <c r="L281" s="3">
        <f>VLOOKUP("MI, E",'[1]Raw Data'!$B$2:$O$102,5,FALSE)</f>
        <v>456</v>
      </c>
      <c r="M281" s="3"/>
      <c r="N281" s="3"/>
      <c r="O281" s="3">
        <f>VLOOKUP("MI, E",'[1]Raw Data'!$B$2:$O$102,6,FALSE)</f>
        <v>292</v>
      </c>
    </row>
    <row r="282" spans="1:15" ht="13.5" customHeight="1" x14ac:dyDescent="0.3">
      <c r="A282" s="1"/>
      <c r="B282" s="1" t="s">
        <v>3</v>
      </c>
      <c r="C282" s="1"/>
      <c r="D282" s="1"/>
      <c r="E282" s="1"/>
      <c r="F282" s="3">
        <f>VLOOKUP("MI, E",'[1]Raw Data'!$B$2:$O$102,7,FALSE)</f>
        <v>31</v>
      </c>
      <c r="G282" s="3"/>
      <c r="H282" s="3"/>
      <c r="I282" s="3">
        <f>VLOOKUP("MI, E",'[1]Raw Data'!$B$2:$O$102,8,FALSE)</f>
        <v>49</v>
      </c>
      <c r="J282" s="3"/>
      <c r="K282" s="3"/>
      <c r="L282" s="3">
        <f>VLOOKUP("MI, E",'[1]Raw Data'!$B$2:$O$102,9,FALSE)</f>
        <v>46</v>
      </c>
      <c r="M282" s="3"/>
      <c r="N282" s="3"/>
      <c r="O282" s="3">
        <f>VLOOKUP("MI, E",'[1]Raw Data'!$B$2:$O$102,10,FALSE)</f>
        <v>34</v>
      </c>
    </row>
    <row r="283" spans="1:15" ht="13.5" customHeight="1" x14ac:dyDescent="0.3">
      <c r="A283" s="1"/>
      <c r="B283" s="1" t="s">
        <v>2</v>
      </c>
      <c r="C283" s="1"/>
      <c r="D283" s="1"/>
      <c r="E283" s="1"/>
      <c r="F283" s="3">
        <f>VLOOKUP("MI, E",'[1]Raw Data'!$B$2:$O$102,11,FALSE)</f>
        <v>231</v>
      </c>
      <c r="G283" s="3"/>
      <c r="H283" s="3"/>
      <c r="I283" s="3">
        <f>VLOOKUP("MI, E",'[1]Raw Data'!$B$2:$O$102,12,FALSE)</f>
        <v>444</v>
      </c>
      <c r="J283" s="3"/>
      <c r="K283" s="3"/>
      <c r="L283" s="3">
        <f>VLOOKUP("MI, E",'[1]Raw Data'!$B$2:$O$102,13,FALSE)</f>
        <v>501</v>
      </c>
      <c r="M283" s="3"/>
      <c r="N283" s="3"/>
      <c r="O283" s="3">
        <f>VLOOKUP("MI, E",'[1]Raw Data'!$B$2:$O$102,14,FALSE)</f>
        <v>174</v>
      </c>
    </row>
    <row r="284" spans="1:15" ht="12" customHeight="1" x14ac:dyDescent="0.3"/>
    <row r="285" spans="1:15" ht="13.5" customHeight="1" x14ac:dyDescent="0.3">
      <c r="A285" s="1"/>
      <c r="B285" s="1"/>
      <c r="C285" s="5" t="str">
        <f>IF(VLOOKUP("MI, W",'[1]Raw Data'!$B$2:$O$102,2,FALSE)="CDO","MI, W"&amp;" "&amp;CHAR(178),"MI, W")</f>
        <v>MI, W</v>
      </c>
      <c r="D285" s="1"/>
      <c r="F285" s="4">
        <f>SUM(F286:F288)</f>
        <v>167</v>
      </c>
      <c r="G285" s="4"/>
      <c r="H285" s="4"/>
      <c r="I285" s="4">
        <f>SUM(I286:I288)</f>
        <v>296</v>
      </c>
      <c r="J285" s="4"/>
      <c r="K285" s="4"/>
      <c r="L285" s="4">
        <f>SUM(L286:L288)</f>
        <v>321</v>
      </c>
      <c r="M285" s="4"/>
      <c r="N285" s="4"/>
      <c r="O285" s="4">
        <f>SUM(O286:O288)</f>
        <v>142</v>
      </c>
    </row>
    <row r="286" spans="1:15" ht="13.5" customHeight="1" x14ac:dyDescent="0.3">
      <c r="A286" s="1"/>
      <c r="B286" s="1" t="s">
        <v>4</v>
      </c>
      <c r="C286" s="1"/>
      <c r="D286" s="1"/>
      <c r="E286" s="1"/>
      <c r="F286" s="3">
        <f>VLOOKUP("MI, W",'[1]Raw Data'!$B$2:$O$102,3,FALSE)</f>
        <v>101</v>
      </c>
      <c r="G286" s="3"/>
      <c r="H286" s="3"/>
      <c r="I286" s="3">
        <f>VLOOKUP("MI, W",'[1]Raw Data'!$B$2:$O$102,4,FALSE)</f>
        <v>141</v>
      </c>
      <c r="J286" s="3"/>
      <c r="K286" s="3"/>
      <c r="L286" s="3">
        <f>VLOOKUP("MI, W",'[1]Raw Data'!$B$2:$O$102,5,FALSE)</f>
        <v>168</v>
      </c>
      <c r="M286" s="3"/>
      <c r="N286" s="3"/>
      <c r="O286" s="3">
        <f>VLOOKUP("MI, W",'[1]Raw Data'!$B$2:$O$102,6,FALSE)</f>
        <v>74</v>
      </c>
    </row>
    <row r="287" spans="1:15" ht="13.5" customHeight="1" x14ac:dyDescent="0.3">
      <c r="A287" s="1"/>
      <c r="B287" s="1" t="s">
        <v>3</v>
      </c>
      <c r="C287" s="1"/>
      <c r="D287" s="1"/>
      <c r="E287" s="1"/>
      <c r="F287" s="3">
        <f>VLOOKUP("MI, W",'[1]Raw Data'!$B$2:$O$102,7,FALSE)</f>
        <v>27</v>
      </c>
      <c r="G287" s="3"/>
      <c r="H287" s="3"/>
      <c r="I287" s="3">
        <f>VLOOKUP("MI, W",'[1]Raw Data'!$B$2:$O$102,8,FALSE)</f>
        <v>59</v>
      </c>
      <c r="J287" s="3"/>
      <c r="K287" s="3"/>
      <c r="L287" s="3">
        <f>VLOOKUP("MI, W",'[1]Raw Data'!$B$2:$O$102,9,FALSE)</f>
        <v>62</v>
      </c>
      <c r="M287" s="3"/>
      <c r="N287" s="3"/>
      <c r="O287" s="3">
        <f>VLOOKUP("MI, W",'[1]Raw Data'!$B$2:$O$102,10,FALSE)</f>
        <v>24</v>
      </c>
    </row>
    <row r="288" spans="1:15" ht="13.5" customHeight="1" x14ac:dyDescent="0.3">
      <c r="A288" s="1"/>
      <c r="B288" s="1" t="s">
        <v>2</v>
      </c>
      <c r="C288" s="1"/>
      <c r="D288" s="1"/>
      <c r="E288" s="1"/>
      <c r="F288" s="3">
        <f>VLOOKUP("MI, W",'[1]Raw Data'!$B$2:$O$102,11,FALSE)</f>
        <v>39</v>
      </c>
      <c r="G288" s="3"/>
      <c r="H288" s="3"/>
      <c r="I288" s="3">
        <f>VLOOKUP("MI, W",'[1]Raw Data'!$B$2:$O$102,12,FALSE)</f>
        <v>96</v>
      </c>
      <c r="J288" s="3"/>
      <c r="K288" s="3"/>
      <c r="L288" s="3">
        <f>VLOOKUP("MI, W",'[1]Raw Data'!$B$2:$O$102,13,FALSE)</f>
        <v>91</v>
      </c>
      <c r="M288" s="3"/>
      <c r="N288" s="3"/>
      <c r="O288" s="3">
        <f>VLOOKUP("MI, W",'[1]Raw Data'!$B$2:$O$102,14,FALSE)</f>
        <v>44</v>
      </c>
    </row>
    <row r="289" spans="1:16" ht="12" customHeight="1" x14ac:dyDescent="0.3"/>
    <row r="290" spans="1:16" ht="13.5" customHeight="1" x14ac:dyDescent="0.3">
      <c r="A290" s="1"/>
      <c r="B290" s="1"/>
      <c r="C290" s="5" t="str">
        <f>IF(VLOOKUP("MN",'[1]Raw Data'!$B$2:$O$102,2,FALSE)="CDO","MN"&amp;" "&amp;CHAR(178),"MN")</f>
        <v>MN</v>
      </c>
      <c r="D290" s="1"/>
      <c r="F290" s="4">
        <f>SUM(F291:F293)</f>
        <v>289</v>
      </c>
      <c r="G290" s="4"/>
      <c r="H290" s="4"/>
      <c r="I290" s="4">
        <f>SUM(I291:I293)</f>
        <v>669</v>
      </c>
      <c r="J290" s="4"/>
      <c r="K290" s="4"/>
      <c r="L290" s="4">
        <f>SUM(L291:L293)</f>
        <v>699</v>
      </c>
      <c r="M290" s="4"/>
      <c r="N290" s="4"/>
      <c r="O290" s="4">
        <f>SUM(O291:O293)</f>
        <v>259</v>
      </c>
    </row>
    <row r="291" spans="1:16" ht="13.5" customHeight="1" x14ac:dyDescent="0.3">
      <c r="A291" s="1"/>
      <c r="B291" s="1" t="s">
        <v>4</v>
      </c>
      <c r="C291" s="1"/>
      <c r="D291" s="1"/>
      <c r="E291" s="1"/>
      <c r="F291" s="3">
        <f>VLOOKUP("MN",'[1]Raw Data'!$B$2:$O$102,3,FALSE)</f>
        <v>124</v>
      </c>
      <c r="G291" s="3"/>
      <c r="H291" s="3"/>
      <c r="I291" s="3">
        <f>VLOOKUP("MN",'[1]Raw Data'!$B$2:$O$102,4,FALSE)</f>
        <v>172</v>
      </c>
      <c r="J291" s="3"/>
      <c r="K291" s="3"/>
      <c r="L291" s="3">
        <f>VLOOKUP("MN",'[1]Raw Data'!$B$2:$O$102,5,FALSE)</f>
        <v>195</v>
      </c>
      <c r="M291" s="3"/>
      <c r="N291" s="3"/>
      <c r="O291" s="3">
        <f>VLOOKUP("MN",'[1]Raw Data'!$B$2:$O$102,6,FALSE)</f>
        <v>101</v>
      </c>
    </row>
    <row r="292" spans="1:16" ht="13.5" customHeight="1" x14ac:dyDescent="0.3">
      <c r="A292" s="1"/>
      <c r="B292" s="1" t="s">
        <v>3</v>
      </c>
      <c r="C292" s="1"/>
      <c r="D292" s="1"/>
      <c r="E292" s="1"/>
      <c r="F292" s="3">
        <f>VLOOKUP("MN",'[1]Raw Data'!$B$2:$O$102,7,FALSE)</f>
        <v>17</v>
      </c>
      <c r="G292" s="3"/>
      <c r="H292" s="3"/>
      <c r="I292" s="3">
        <f>VLOOKUP("MN",'[1]Raw Data'!$B$2:$O$102,8,FALSE)</f>
        <v>43</v>
      </c>
      <c r="J292" s="3"/>
      <c r="K292" s="3"/>
      <c r="L292" s="3">
        <f>VLOOKUP("MN",'[1]Raw Data'!$B$2:$O$102,9,FALSE)</f>
        <v>38</v>
      </c>
      <c r="M292" s="3"/>
      <c r="N292" s="3"/>
      <c r="O292" s="3">
        <f>VLOOKUP("MN",'[1]Raw Data'!$B$2:$O$102,10,FALSE)</f>
        <v>22</v>
      </c>
    </row>
    <row r="293" spans="1:16" ht="13.5" customHeight="1" x14ac:dyDescent="0.3">
      <c r="A293" s="1"/>
      <c r="B293" s="1" t="s">
        <v>2</v>
      </c>
      <c r="C293" s="1"/>
      <c r="D293" s="1"/>
      <c r="E293" s="1"/>
      <c r="F293" s="3">
        <f>VLOOKUP("MN",'[1]Raw Data'!$B$2:$O$102,11,FALSE)</f>
        <v>148</v>
      </c>
      <c r="G293" s="3"/>
      <c r="H293" s="3"/>
      <c r="I293" s="3">
        <f>VLOOKUP("MN",'[1]Raw Data'!$B$2:$O$102,12,FALSE)</f>
        <v>454</v>
      </c>
      <c r="J293" s="3"/>
      <c r="K293" s="3"/>
      <c r="L293" s="3">
        <f>VLOOKUP("MN",'[1]Raw Data'!$B$2:$O$102,13,FALSE)</f>
        <v>466</v>
      </c>
      <c r="M293" s="3"/>
      <c r="N293" s="3"/>
      <c r="O293" s="3">
        <f>VLOOKUP("MN",'[1]Raw Data'!$B$2:$O$102,14,FALSE)</f>
        <v>136</v>
      </c>
    </row>
    <row r="294" spans="1:16" ht="12" customHeight="1" x14ac:dyDescent="0.3"/>
    <row r="295" spans="1:16" ht="12" customHeight="1" x14ac:dyDescent="0.3"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6" ht="15" customHeight="1" x14ac:dyDescent="0.3">
      <c r="A296" s="7" t="str">
        <f>"Table K-1. (September 30, "&amp;'[1]Raw Data'!$A$2&amp;"—Continued)"</f>
        <v>Table K-1. (September 30, 2022—Continued)</v>
      </c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6" ht="12" customHeight="1" x14ac:dyDescent="0.3"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6" ht="15" customHeight="1" x14ac:dyDescent="0.3">
      <c r="A298" s="11" t="s">
        <v>12</v>
      </c>
      <c r="B298" s="11"/>
      <c r="C298" s="11"/>
      <c r="D298" s="12"/>
      <c r="E298" s="10" t="s">
        <v>10</v>
      </c>
      <c r="F298" s="11"/>
      <c r="G298" s="12"/>
      <c r="H298" s="10" t="s">
        <v>11</v>
      </c>
      <c r="I298" s="11"/>
      <c r="J298" s="12"/>
      <c r="K298" s="10" t="s">
        <v>11</v>
      </c>
      <c r="L298" s="11"/>
      <c r="M298" s="12"/>
      <c r="N298" s="10" t="s">
        <v>10</v>
      </c>
      <c r="O298" s="11"/>
      <c r="P298" s="11"/>
    </row>
    <row r="299" spans="1:16" ht="13.5" customHeight="1" x14ac:dyDescent="0.3">
      <c r="A299" s="14" t="s">
        <v>9</v>
      </c>
      <c r="B299" s="14"/>
      <c r="C299" s="14"/>
      <c r="D299" s="15"/>
      <c r="E299" s="13" t="s">
        <v>8</v>
      </c>
      <c r="F299" s="14"/>
      <c r="G299" s="15"/>
      <c r="H299" s="13" t="s">
        <v>7</v>
      </c>
      <c r="I299" s="14"/>
      <c r="J299" s="15"/>
      <c r="K299" s="13" t="s">
        <v>6</v>
      </c>
      <c r="L299" s="14"/>
      <c r="M299" s="15"/>
      <c r="N299" s="13" t="s">
        <v>5</v>
      </c>
      <c r="O299" s="14"/>
      <c r="P299" s="14"/>
    </row>
    <row r="300" spans="1:16" ht="3.7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3.5" customHeight="1" x14ac:dyDescent="0.3"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6" ht="13.5" customHeight="1" x14ac:dyDescent="0.3">
      <c r="A302" s="1"/>
      <c r="B302" s="1"/>
      <c r="C302" s="5" t="str">
        <f>IF(VLOOKUP("MO, E",'[1]Raw Data'!$B$2:$O$102,2,FALSE)="CDO","MO, E"&amp;" "&amp;CHAR(178),"MO, E")</f>
        <v>MO, E</v>
      </c>
      <c r="D302" s="1"/>
      <c r="F302" s="4">
        <f>SUM(F303:F305)</f>
        <v>1247</v>
      </c>
      <c r="G302" s="4"/>
      <c r="H302" s="4"/>
      <c r="I302" s="4">
        <f>SUM(I303:I305)</f>
        <v>1234</v>
      </c>
      <c r="J302" s="4"/>
      <c r="K302" s="4"/>
      <c r="L302" s="4">
        <f>SUM(L303:L305)</f>
        <v>1617</v>
      </c>
      <c r="M302" s="4"/>
      <c r="N302" s="4"/>
      <c r="O302" s="4">
        <f>SUM(O303:O305)</f>
        <v>864</v>
      </c>
    </row>
    <row r="303" spans="1:16" ht="13.5" customHeight="1" x14ac:dyDescent="0.3">
      <c r="A303" s="1"/>
      <c r="B303" s="1" t="s">
        <v>4</v>
      </c>
      <c r="C303" s="1"/>
      <c r="D303" s="1"/>
      <c r="E303" s="1"/>
      <c r="F303" s="3">
        <f>VLOOKUP("MO, E",'[1]Raw Data'!$B$2:$O$102,3,FALSE)</f>
        <v>716</v>
      </c>
      <c r="G303" s="3"/>
      <c r="H303" s="3"/>
      <c r="I303" s="3">
        <f>VLOOKUP("MO, E",'[1]Raw Data'!$B$2:$O$102,4,FALSE)</f>
        <v>583</v>
      </c>
      <c r="J303" s="3"/>
      <c r="K303" s="3"/>
      <c r="L303" s="3">
        <f>VLOOKUP("MO, E",'[1]Raw Data'!$B$2:$O$102,5,FALSE)</f>
        <v>774</v>
      </c>
      <c r="M303" s="3"/>
      <c r="N303" s="3"/>
      <c r="O303" s="3">
        <f>VLOOKUP("MO, E",'[1]Raw Data'!$B$2:$O$102,6,FALSE)</f>
        <v>524</v>
      </c>
    </row>
    <row r="304" spans="1:16" ht="13.5" customHeight="1" x14ac:dyDescent="0.3">
      <c r="A304" s="1"/>
      <c r="B304" s="1" t="s">
        <v>3</v>
      </c>
      <c r="C304" s="1"/>
      <c r="D304" s="1"/>
      <c r="E304" s="1"/>
      <c r="F304" s="3">
        <f>VLOOKUP("MO, E",'[1]Raw Data'!$B$2:$O$102,7,FALSE)</f>
        <v>25</v>
      </c>
      <c r="G304" s="3"/>
      <c r="H304" s="3"/>
      <c r="I304" s="3">
        <f>VLOOKUP("MO, E",'[1]Raw Data'!$B$2:$O$102,8,FALSE)</f>
        <v>48</v>
      </c>
      <c r="J304" s="3"/>
      <c r="K304" s="3"/>
      <c r="L304" s="3">
        <f>VLOOKUP("MO, E",'[1]Raw Data'!$B$2:$O$102,9,FALSE)</f>
        <v>38</v>
      </c>
      <c r="M304" s="3"/>
      <c r="N304" s="3"/>
      <c r="O304" s="3">
        <f>VLOOKUP("MO, E",'[1]Raw Data'!$B$2:$O$102,10,FALSE)</f>
        <v>35</v>
      </c>
    </row>
    <row r="305" spans="1:15" ht="13.5" customHeight="1" x14ac:dyDescent="0.3">
      <c r="A305" s="1"/>
      <c r="B305" s="1" t="s">
        <v>2</v>
      </c>
      <c r="C305" s="1"/>
      <c r="D305" s="1"/>
      <c r="E305" s="1"/>
      <c r="F305" s="3">
        <f>VLOOKUP("MO, E",'[1]Raw Data'!$B$2:$O$102,11,FALSE)</f>
        <v>506</v>
      </c>
      <c r="G305" s="3"/>
      <c r="H305" s="3"/>
      <c r="I305" s="3">
        <f>VLOOKUP("MO, E",'[1]Raw Data'!$B$2:$O$102,12,FALSE)</f>
        <v>603</v>
      </c>
      <c r="J305" s="3"/>
      <c r="K305" s="3"/>
      <c r="L305" s="3">
        <f>VLOOKUP("MO, E",'[1]Raw Data'!$B$2:$O$102,13,FALSE)</f>
        <v>805</v>
      </c>
      <c r="M305" s="3"/>
      <c r="N305" s="3"/>
      <c r="O305" s="3">
        <f>VLOOKUP("MO, E",'[1]Raw Data'!$B$2:$O$102,14,FALSE)</f>
        <v>305</v>
      </c>
    </row>
    <row r="306" spans="1:15" ht="12" customHeight="1" x14ac:dyDescent="0.3"/>
    <row r="307" spans="1:15" ht="13.5" customHeight="1" x14ac:dyDescent="0.3">
      <c r="A307" s="1"/>
      <c r="B307" s="1"/>
      <c r="C307" s="5" t="str">
        <f>IF(VLOOKUP("MO, W",'[1]Raw Data'!$B$2:$O$102,2,FALSE)="CDO","MO, W"&amp;" "&amp;CHAR(178),"MO, W")</f>
        <v>MO, W</v>
      </c>
      <c r="D307" s="1"/>
      <c r="F307" s="4">
        <f>SUM(F308:F310)</f>
        <v>911</v>
      </c>
      <c r="G307" s="4"/>
      <c r="H307" s="4"/>
      <c r="I307" s="4">
        <f>SUM(I308:I310)</f>
        <v>1058</v>
      </c>
      <c r="J307" s="4"/>
      <c r="K307" s="4"/>
      <c r="L307" s="4">
        <f>SUM(L308:L310)</f>
        <v>1219</v>
      </c>
      <c r="M307" s="4"/>
      <c r="N307" s="4"/>
      <c r="O307" s="4">
        <f>SUM(O308:O310)</f>
        <v>750</v>
      </c>
    </row>
    <row r="308" spans="1:15" ht="13.5" customHeight="1" x14ac:dyDescent="0.3">
      <c r="A308" s="1"/>
      <c r="B308" s="1" t="s">
        <v>4</v>
      </c>
      <c r="C308" s="1"/>
      <c r="D308" s="1"/>
      <c r="E308" s="1"/>
      <c r="F308" s="3">
        <f>VLOOKUP("MO, W",'[1]Raw Data'!$B$2:$O$102,3,FALSE)</f>
        <v>590</v>
      </c>
      <c r="G308" s="3"/>
      <c r="H308" s="3"/>
      <c r="I308" s="3">
        <f>VLOOKUP("MO, W",'[1]Raw Data'!$B$2:$O$102,4,FALSE)</f>
        <v>419</v>
      </c>
      <c r="J308" s="3"/>
      <c r="K308" s="3"/>
      <c r="L308" s="3">
        <f>VLOOKUP("MO, W",'[1]Raw Data'!$B$2:$O$102,5,FALSE)</f>
        <v>515</v>
      </c>
      <c r="M308" s="3"/>
      <c r="N308" s="3"/>
      <c r="O308" s="3">
        <f>VLOOKUP("MO, W",'[1]Raw Data'!$B$2:$O$102,6,FALSE)</f>
        <v>493</v>
      </c>
    </row>
    <row r="309" spans="1:15" ht="13.5" customHeight="1" x14ac:dyDescent="0.3">
      <c r="A309" s="1"/>
      <c r="B309" s="1" t="s">
        <v>3</v>
      </c>
      <c r="C309" s="1"/>
      <c r="D309" s="1"/>
      <c r="E309" s="1"/>
      <c r="F309" s="3">
        <f>VLOOKUP("MO, W",'[1]Raw Data'!$B$2:$O$102,7,FALSE)</f>
        <v>72</v>
      </c>
      <c r="G309" s="3"/>
      <c r="H309" s="3"/>
      <c r="I309" s="3">
        <f>VLOOKUP("MO, W",'[1]Raw Data'!$B$2:$O$102,8,FALSE)</f>
        <v>80</v>
      </c>
      <c r="J309" s="3"/>
      <c r="K309" s="3"/>
      <c r="L309" s="3">
        <f>VLOOKUP("MO, W",'[1]Raw Data'!$B$2:$O$102,9,FALSE)</f>
        <v>93</v>
      </c>
      <c r="M309" s="3"/>
      <c r="N309" s="3"/>
      <c r="O309" s="3">
        <f>VLOOKUP("MO, W",'[1]Raw Data'!$B$2:$O$102,10,FALSE)</f>
        <v>59</v>
      </c>
    </row>
    <row r="310" spans="1:15" ht="13.5" customHeight="1" x14ac:dyDescent="0.3">
      <c r="A310" s="1"/>
      <c r="B310" s="1" t="s">
        <v>2</v>
      </c>
      <c r="C310" s="1"/>
      <c r="D310" s="1"/>
      <c r="E310" s="1"/>
      <c r="F310" s="3">
        <f>VLOOKUP("MO, W",'[1]Raw Data'!$B$2:$O$102,11,FALSE)</f>
        <v>249</v>
      </c>
      <c r="G310" s="3"/>
      <c r="H310" s="3"/>
      <c r="I310" s="3">
        <f>VLOOKUP("MO, W",'[1]Raw Data'!$B$2:$O$102,12,FALSE)</f>
        <v>559</v>
      </c>
      <c r="J310" s="3"/>
      <c r="K310" s="3"/>
      <c r="L310" s="3">
        <f>VLOOKUP("MO, W",'[1]Raw Data'!$B$2:$O$102,13,FALSE)</f>
        <v>611</v>
      </c>
      <c r="M310" s="3"/>
      <c r="N310" s="3"/>
      <c r="O310" s="3">
        <f>VLOOKUP("MO, W",'[1]Raw Data'!$B$2:$O$102,14,FALSE)</f>
        <v>198</v>
      </c>
    </row>
    <row r="311" spans="1:15" ht="12" customHeight="1" x14ac:dyDescent="0.3"/>
    <row r="312" spans="1:15" ht="13.5" customHeight="1" x14ac:dyDescent="0.3">
      <c r="A312" s="1"/>
      <c r="B312" s="1"/>
      <c r="C312" s="5" t="str">
        <f>IF(VLOOKUP("TOT: MS, N/S",'[1]Raw Data'!$B$2:$O$102,2,FALSE)="CDO","TOT: MS, N/S"&amp;" "&amp;CHAR(178),"TOT: MS, N/S")</f>
        <v>TOT: MS, N/S</v>
      </c>
      <c r="D312" s="1"/>
      <c r="F312" s="4">
        <f>IF(SUM(F313:F315)-SUM(F317,F322)=0,SUM(F313:F315),"ERROR")</f>
        <v>406</v>
      </c>
      <c r="G312" s="4"/>
      <c r="H312" s="4"/>
      <c r="I312" s="4">
        <f>IF(SUM(I313:I315)-SUM(I317,I322)=0,SUM(I313:I315),"ERROR")</f>
        <v>893</v>
      </c>
      <c r="J312" s="4"/>
      <c r="K312" s="4"/>
      <c r="L312" s="4">
        <f>IF(SUM(L313:L315)-SUM(L317,L322)=0,SUM(L313:L315),"ERROR")</f>
        <v>881</v>
      </c>
      <c r="M312" s="4"/>
      <c r="N312" s="4"/>
      <c r="O312" s="4">
        <f>IF(SUM(O313:O315)-SUM(O317,O322)=0,SUM(O313:O315),"ERROR")</f>
        <v>418</v>
      </c>
    </row>
    <row r="313" spans="1:15" ht="13.5" customHeight="1" x14ac:dyDescent="0.3">
      <c r="A313" s="1"/>
      <c r="B313" s="1" t="s">
        <v>4</v>
      </c>
      <c r="C313" s="1"/>
      <c r="D313" s="1"/>
      <c r="E313" s="1"/>
      <c r="F313" s="3">
        <f>VLOOKUP("TOT: MS, N/S",'[1]Raw Data'!$B$2:$O$102,3,FALSE)</f>
        <v>259</v>
      </c>
      <c r="G313" s="3"/>
      <c r="H313" s="3"/>
      <c r="I313" s="3">
        <f>VLOOKUP("TOT: MS, N/S",'[1]Raw Data'!$B$2:$O$102,4,FALSE)</f>
        <v>400</v>
      </c>
      <c r="J313" s="3"/>
      <c r="K313" s="3"/>
      <c r="L313" s="3">
        <f>VLOOKUP("TOT: MS, N/S",'[1]Raw Data'!$B$2:$O$102,5,FALSE)</f>
        <v>361</v>
      </c>
      <c r="M313" s="3"/>
      <c r="N313" s="3"/>
      <c r="O313" s="3">
        <f>VLOOKUP("TOT: MS, N/S",'[1]Raw Data'!$B$2:$O$102,6,FALSE)</f>
        <v>298</v>
      </c>
    </row>
    <row r="314" spans="1:15" ht="13.5" customHeight="1" x14ac:dyDescent="0.3">
      <c r="A314" s="1"/>
      <c r="B314" s="1" t="s">
        <v>3</v>
      </c>
      <c r="C314" s="1"/>
      <c r="D314" s="1"/>
      <c r="E314" s="1"/>
      <c r="F314" s="3">
        <f>VLOOKUP("TOT: MS, N/S",'[1]Raw Data'!$B$2:$O$102,7,FALSE)</f>
        <v>37</v>
      </c>
      <c r="G314" s="3"/>
      <c r="H314" s="3"/>
      <c r="I314" s="3">
        <f>VLOOKUP("TOT: MS, N/S",'[1]Raw Data'!$B$2:$O$102,8,FALSE)</f>
        <v>48</v>
      </c>
      <c r="J314" s="3"/>
      <c r="K314" s="3"/>
      <c r="L314" s="3">
        <f>VLOOKUP("TOT: MS, N/S",'[1]Raw Data'!$B$2:$O$102,9,FALSE)</f>
        <v>55</v>
      </c>
      <c r="M314" s="3"/>
      <c r="N314" s="3"/>
      <c r="O314" s="3">
        <f>VLOOKUP("TOT: MS, N/S",'[1]Raw Data'!$B$2:$O$102,10,FALSE)</f>
        <v>30</v>
      </c>
    </row>
    <row r="315" spans="1:15" ht="13.5" customHeight="1" x14ac:dyDescent="0.3">
      <c r="A315" s="1"/>
      <c r="B315" s="1" t="s">
        <v>2</v>
      </c>
      <c r="C315" s="1"/>
      <c r="D315" s="1"/>
      <c r="E315" s="1"/>
      <c r="F315" s="3">
        <f>VLOOKUP("TOT: MS, N/S",'[1]Raw Data'!$B$2:$O$102,11,FALSE)</f>
        <v>110</v>
      </c>
      <c r="G315" s="3"/>
      <c r="H315" s="3"/>
      <c r="I315" s="3">
        <f>VLOOKUP("TOT: MS, N/S",'[1]Raw Data'!$B$2:$O$102,12,FALSE)</f>
        <v>445</v>
      </c>
      <c r="J315" s="3"/>
      <c r="K315" s="3"/>
      <c r="L315" s="3">
        <f>VLOOKUP("TOT: MS, N/S",'[1]Raw Data'!$B$2:$O$102,13,FALSE)</f>
        <v>465</v>
      </c>
      <c r="M315" s="3"/>
      <c r="N315" s="3"/>
      <c r="O315" s="3">
        <f>VLOOKUP("TOT: MS, N/S",'[1]Raw Data'!$B$2:$O$102,14,FALSE)</f>
        <v>90</v>
      </c>
    </row>
    <row r="316" spans="1:15" ht="12" customHeight="1" x14ac:dyDescent="0.3"/>
    <row r="317" spans="1:15" ht="13.5" customHeight="1" x14ac:dyDescent="0.3">
      <c r="A317" s="1"/>
      <c r="B317" s="1"/>
      <c r="C317" s="5" t="str">
        <f>IF(VLOOKUP("   MS, N",'[1]Raw Data'!$B$2:$O$102,2,FALSE)="CDO","MS, N"&amp;" "&amp;CHAR(178),"MS, N")</f>
        <v>MS, N</v>
      </c>
      <c r="D317" s="1"/>
      <c r="F317" s="4">
        <f>SUM(F318:F320)</f>
        <v>117</v>
      </c>
      <c r="G317" s="4"/>
      <c r="H317" s="4"/>
      <c r="I317" s="4">
        <f>SUM(I318:I320)</f>
        <v>334</v>
      </c>
      <c r="J317" s="4"/>
      <c r="K317" s="4"/>
      <c r="L317" s="4">
        <f>SUM(L318:L320)</f>
        <v>318</v>
      </c>
      <c r="M317" s="4"/>
      <c r="N317" s="4"/>
      <c r="O317" s="4">
        <f>SUM(O318:O320)</f>
        <v>133</v>
      </c>
    </row>
    <row r="318" spans="1:15" ht="13.5" customHeight="1" x14ac:dyDescent="0.3">
      <c r="A318" s="1"/>
      <c r="B318" s="1" t="s">
        <v>4</v>
      </c>
      <c r="C318" s="1"/>
      <c r="D318" s="1"/>
      <c r="E318" s="1"/>
      <c r="F318" s="3">
        <f>VLOOKUP("   MS, N",'[1]Raw Data'!$B$2:$O$102,3,FALSE)</f>
        <v>77</v>
      </c>
      <c r="G318" s="3"/>
      <c r="H318" s="3"/>
      <c r="I318" s="3">
        <f>VLOOKUP("   MS, N",'[1]Raw Data'!$B$2:$O$102,4,FALSE)</f>
        <v>123</v>
      </c>
      <c r="J318" s="3"/>
      <c r="K318" s="3"/>
      <c r="L318" s="3">
        <f>VLOOKUP("   MS, N",'[1]Raw Data'!$B$2:$O$102,5,FALSE)</f>
        <v>103</v>
      </c>
      <c r="M318" s="3"/>
      <c r="N318" s="3"/>
      <c r="O318" s="3">
        <f>VLOOKUP("   MS, N",'[1]Raw Data'!$B$2:$O$102,6,FALSE)</f>
        <v>97</v>
      </c>
    </row>
    <row r="319" spans="1:15" ht="13.5" customHeight="1" x14ac:dyDescent="0.3">
      <c r="A319" s="1"/>
      <c r="B319" s="1" t="s">
        <v>3</v>
      </c>
      <c r="C319" s="1"/>
      <c r="D319" s="1"/>
      <c r="E319" s="1"/>
      <c r="F319" s="3">
        <f>VLOOKUP("   MS, N",'[1]Raw Data'!$B$2:$O$102,7,FALSE)</f>
        <v>5</v>
      </c>
      <c r="G319" s="3"/>
      <c r="H319" s="3"/>
      <c r="I319" s="3">
        <f>VLOOKUP("   MS, N",'[1]Raw Data'!$B$2:$O$102,8,FALSE)</f>
        <v>9</v>
      </c>
      <c r="J319" s="3"/>
      <c r="K319" s="3"/>
      <c r="L319" s="3">
        <f>VLOOKUP("   MS, N",'[1]Raw Data'!$B$2:$O$102,9,FALSE)</f>
        <v>6</v>
      </c>
      <c r="M319" s="3"/>
      <c r="N319" s="3"/>
      <c r="O319" s="3">
        <f>VLOOKUP("   MS, N",'[1]Raw Data'!$B$2:$O$102,10,FALSE)</f>
        <v>8</v>
      </c>
    </row>
    <row r="320" spans="1:15" ht="13.5" customHeight="1" x14ac:dyDescent="0.3">
      <c r="A320" s="1"/>
      <c r="B320" s="1" t="s">
        <v>2</v>
      </c>
      <c r="C320" s="1"/>
      <c r="D320" s="1"/>
      <c r="E320" s="1"/>
      <c r="F320" s="3">
        <f>VLOOKUP("   MS, N",'[1]Raw Data'!$B$2:$O$102,11,FALSE)</f>
        <v>35</v>
      </c>
      <c r="G320" s="3"/>
      <c r="H320" s="3"/>
      <c r="I320" s="3">
        <f>VLOOKUP("   MS, N",'[1]Raw Data'!$B$2:$O$102,12,FALSE)</f>
        <v>202</v>
      </c>
      <c r="J320" s="3"/>
      <c r="K320" s="3"/>
      <c r="L320" s="3">
        <f>VLOOKUP("   MS, N",'[1]Raw Data'!$B$2:$O$102,13,FALSE)</f>
        <v>209</v>
      </c>
      <c r="M320" s="3"/>
      <c r="N320" s="3"/>
      <c r="O320" s="3">
        <f>VLOOKUP("   MS, N",'[1]Raw Data'!$B$2:$O$102,14,FALSE)</f>
        <v>28</v>
      </c>
    </row>
    <row r="321" spans="1:15" ht="12" customHeight="1" x14ac:dyDescent="0.3"/>
    <row r="322" spans="1:15" ht="13.5" customHeight="1" x14ac:dyDescent="0.3">
      <c r="A322" s="1"/>
      <c r="B322" s="1"/>
      <c r="C322" s="5" t="str">
        <f>IF(VLOOKUP("   MS, S",'[1]Raw Data'!$B$2:$O$102,2,FALSE)="CDO","MS, S"&amp;" "&amp;CHAR(178),"MS, S")</f>
        <v>MS, S</v>
      </c>
      <c r="D322" s="1"/>
      <c r="F322" s="4">
        <f>SUM(F323:F325)</f>
        <v>289</v>
      </c>
      <c r="G322" s="4"/>
      <c r="H322" s="4"/>
      <c r="I322" s="4">
        <f>SUM(I323:I325)</f>
        <v>559</v>
      </c>
      <c r="J322" s="4"/>
      <c r="K322" s="4"/>
      <c r="L322" s="4">
        <f>SUM(L323:L325)</f>
        <v>563</v>
      </c>
      <c r="M322" s="4"/>
      <c r="N322" s="4"/>
      <c r="O322" s="4">
        <f>SUM(O323:O325)</f>
        <v>285</v>
      </c>
    </row>
    <row r="323" spans="1:15" ht="13.5" customHeight="1" x14ac:dyDescent="0.3">
      <c r="A323" s="1"/>
      <c r="B323" s="1" t="s">
        <v>4</v>
      </c>
      <c r="C323" s="1"/>
      <c r="D323" s="1"/>
      <c r="E323" s="1"/>
      <c r="F323" s="3">
        <f>VLOOKUP("   MS, S",'[1]Raw Data'!$B$2:$O$102,3,FALSE)</f>
        <v>182</v>
      </c>
      <c r="G323" s="3"/>
      <c r="H323" s="3"/>
      <c r="I323" s="3">
        <f>VLOOKUP("   MS, S",'[1]Raw Data'!$B$2:$O$102,4,FALSE)</f>
        <v>277</v>
      </c>
      <c r="J323" s="3"/>
      <c r="K323" s="3"/>
      <c r="L323" s="3">
        <f>VLOOKUP("   MS, S",'[1]Raw Data'!$B$2:$O$102,5,FALSE)</f>
        <v>258</v>
      </c>
      <c r="M323" s="3"/>
      <c r="N323" s="3"/>
      <c r="O323" s="3">
        <f>VLOOKUP("   MS, S",'[1]Raw Data'!$B$2:$O$102,6,FALSE)</f>
        <v>201</v>
      </c>
    </row>
    <row r="324" spans="1:15" ht="13.5" customHeight="1" x14ac:dyDescent="0.3">
      <c r="A324" s="1"/>
      <c r="B324" s="1" t="s">
        <v>3</v>
      </c>
      <c r="C324" s="1"/>
      <c r="D324" s="1"/>
      <c r="E324" s="1"/>
      <c r="F324" s="3">
        <f>VLOOKUP("   MS, S",'[1]Raw Data'!$B$2:$O$102,7,FALSE)</f>
        <v>32</v>
      </c>
      <c r="G324" s="3"/>
      <c r="H324" s="3"/>
      <c r="I324" s="3">
        <f>VLOOKUP("   MS, S",'[1]Raw Data'!$B$2:$O$102,8,FALSE)</f>
        <v>39</v>
      </c>
      <c r="J324" s="3"/>
      <c r="K324" s="3"/>
      <c r="L324" s="3">
        <f>VLOOKUP("   MS, S",'[1]Raw Data'!$B$2:$O$102,9,FALSE)</f>
        <v>49</v>
      </c>
      <c r="M324" s="3"/>
      <c r="N324" s="3"/>
      <c r="O324" s="3">
        <f>VLOOKUP("   MS, S",'[1]Raw Data'!$B$2:$O$102,10,FALSE)</f>
        <v>22</v>
      </c>
    </row>
    <row r="325" spans="1:15" ht="13.5" customHeight="1" x14ac:dyDescent="0.3">
      <c r="A325" s="1"/>
      <c r="B325" s="1" t="s">
        <v>2</v>
      </c>
      <c r="C325" s="1"/>
      <c r="D325" s="1"/>
      <c r="E325" s="1"/>
      <c r="F325" s="3">
        <f>VLOOKUP("   MS, S",'[1]Raw Data'!$B$2:$O$102,11,FALSE)</f>
        <v>75</v>
      </c>
      <c r="G325" s="3"/>
      <c r="H325" s="3"/>
      <c r="I325" s="3">
        <f>VLOOKUP("   MS, S",'[1]Raw Data'!$B$2:$O$102,12,FALSE)</f>
        <v>243</v>
      </c>
      <c r="J325" s="3"/>
      <c r="K325" s="3"/>
      <c r="L325" s="3">
        <f>VLOOKUP("   MS, S",'[1]Raw Data'!$B$2:$O$102,13,FALSE)</f>
        <v>256</v>
      </c>
      <c r="M325" s="3"/>
      <c r="N325" s="3"/>
      <c r="O325" s="3">
        <f>VLOOKUP("   MS, S",'[1]Raw Data'!$B$2:$O$102,14,FALSE)</f>
        <v>62</v>
      </c>
    </row>
    <row r="326" spans="1:15" ht="12" customHeight="1" x14ac:dyDescent="0.3"/>
    <row r="327" spans="1:15" ht="13.5" customHeight="1" x14ac:dyDescent="0.3">
      <c r="A327" s="1"/>
      <c r="B327" s="1"/>
      <c r="C327" s="5" t="str">
        <f>IF(VLOOKUP("MT",'[1]Raw Data'!$B$2:$O$102,2,FALSE)="CDO","MT"&amp;" "&amp;CHAR(178),"MT")</f>
        <v>MT ²</v>
      </c>
      <c r="D327" s="1"/>
      <c r="F327" s="4">
        <f>SUM(F328:F330)</f>
        <v>253</v>
      </c>
      <c r="G327" s="4"/>
      <c r="H327" s="4"/>
      <c r="I327" s="4">
        <f>SUM(I328:I330)</f>
        <v>746</v>
      </c>
      <c r="J327" s="4"/>
      <c r="K327" s="4"/>
      <c r="L327" s="4">
        <f>SUM(L328:L330)</f>
        <v>738</v>
      </c>
      <c r="M327" s="4"/>
      <c r="N327" s="4"/>
      <c r="O327" s="4">
        <f>SUM(O328:O330)</f>
        <v>261</v>
      </c>
    </row>
    <row r="328" spans="1:15" ht="13.5" customHeight="1" x14ac:dyDescent="0.3">
      <c r="A328" s="1"/>
      <c r="B328" s="1" t="s">
        <v>4</v>
      </c>
      <c r="C328" s="1"/>
      <c r="D328" s="1"/>
      <c r="E328" s="1"/>
      <c r="F328" s="3">
        <f>VLOOKUP("MT",'[1]Raw Data'!$B$2:$O$102,3,FALSE)</f>
        <v>128</v>
      </c>
      <c r="G328" s="3"/>
      <c r="H328" s="3"/>
      <c r="I328" s="3">
        <f>VLOOKUP("MT",'[1]Raw Data'!$B$2:$O$102,4,FALSE)</f>
        <v>261</v>
      </c>
      <c r="J328" s="3"/>
      <c r="K328" s="3"/>
      <c r="L328" s="3">
        <f>VLOOKUP("MT",'[1]Raw Data'!$B$2:$O$102,5,FALSE)</f>
        <v>232</v>
      </c>
      <c r="M328" s="3"/>
      <c r="N328" s="3"/>
      <c r="O328" s="3">
        <f>VLOOKUP("MT",'[1]Raw Data'!$B$2:$O$102,6,FALSE)</f>
        <v>156</v>
      </c>
    </row>
    <row r="329" spans="1:15" ht="13.5" customHeight="1" x14ac:dyDescent="0.3">
      <c r="A329" s="1"/>
      <c r="B329" s="1" t="s">
        <v>3</v>
      </c>
      <c r="C329" s="1"/>
      <c r="D329" s="1"/>
      <c r="E329" s="1"/>
      <c r="F329" s="3">
        <f>VLOOKUP("MT",'[1]Raw Data'!$B$2:$O$102,7,FALSE)</f>
        <v>39</v>
      </c>
      <c r="G329" s="3"/>
      <c r="H329" s="3"/>
      <c r="I329" s="3">
        <f>VLOOKUP("MT",'[1]Raw Data'!$B$2:$O$102,8,FALSE)</f>
        <v>53</v>
      </c>
      <c r="J329" s="3"/>
      <c r="K329" s="3"/>
      <c r="L329" s="3">
        <f>VLOOKUP("MT",'[1]Raw Data'!$B$2:$O$102,9,FALSE)</f>
        <v>60</v>
      </c>
      <c r="M329" s="3"/>
      <c r="N329" s="3"/>
      <c r="O329" s="3">
        <f>VLOOKUP("MT",'[1]Raw Data'!$B$2:$O$102,10,FALSE)</f>
        <v>32</v>
      </c>
    </row>
    <row r="330" spans="1:15" ht="13.5" customHeight="1" x14ac:dyDescent="0.3">
      <c r="A330" s="1"/>
      <c r="B330" s="1" t="s">
        <v>2</v>
      </c>
      <c r="C330" s="1"/>
      <c r="D330" s="1"/>
      <c r="E330" s="1"/>
      <c r="F330" s="3">
        <f>VLOOKUP("MT",'[1]Raw Data'!$B$2:$O$102,11,FALSE)</f>
        <v>86</v>
      </c>
      <c r="G330" s="3"/>
      <c r="H330" s="3"/>
      <c r="I330" s="3">
        <f>VLOOKUP("MT",'[1]Raw Data'!$B$2:$O$102,12,FALSE)</f>
        <v>432</v>
      </c>
      <c r="J330" s="3"/>
      <c r="K330" s="3"/>
      <c r="L330" s="3">
        <f>VLOOKUP("MT",'[1]Raw Data'!$B$2:$O$102,13,FALSE)</f>
        <v>446</v>
      </c>
      <c r="M330" s="3"/>
      <c r="N330" s="3"/>
      <c r="O330" s="3">
        <f>VLOOKUP("MT",'[1]Raw Data'!$B$2:$O$102,14,FALSE)</f>
        <v>73</v>
      </c>
    </row>
    <row r="331" spans="1:15" ht="12" customHeight="1" x14ac:dyDescent="0.3"/>
    <row r="332" spans="1:15" ht="13.5" customHeight="1" x14ac:dyDescent="0.3">
      <c r="A332" s="1"/>
      <c r="B332" s="1"/>
      <c r="C332" s="5" t="str">
        <f>IF(VLOOKUP("NC, E",'[1]Raw Data'!$B$2:$O$102,2,FALSE)="CDO","NC, E"&amp;" "&amp;CHAR(178),"NC, E")</f>
        <v>NC, E</v>
      </c>
      <c r="D332" s="1"/>
      <c r="F332" s="4">
        <f>SUM(F333:F335)</f>
        <v>2988</v>
      </c>
      <c r="G332" s="4"/>
      <c r="H332" s="4"/>
      <c r="I332" s="4">
        <f>SUM(I333:I335)</f>
        <v>1655</v>
      </c>
      <c r="J332" s="4"/>
      <c r="K332" s="4"/>
      <c r="L332" s="4">
        <f>SUM(L333:L335)</f>
        <v>1335</v>
      </c>
      <c r="M332" s="4"/>
      <c r="N332" s="4"/>
      <c r="O332" s="4">
        <f>SUM(O333:O335)</f>
        <v>3308</v>
      </c>
    </row>
    <row r="333" spans="1:15" ht="13.5" customHeight="1" x14ac:dyDescent="0.3">
      <c r="A333" s="1"/>
      <c r="B333" s="1" t="s">
        <v>4</v>
      </c>
      <c r="C333" s="1"/>
      <c r="D333" s="1"/>
      <c r="E333" s="1"/>
      <c r="F333" s="3">
        <f>VLOOKUP("NC, E",'[1]Raw Data'!$B$2:$O$102,3,FALSE)</f>
        <v>1088</v>
      </c>
      <c r="G333" s="3"/>
      <c r="H333" s="3"/>
      <c r="I333" s="3">
        <f>VLOOKUP("NC, E",'[1]Raw Data'!$B$2:$O$102,4,FALSE)</f>
        <v>709</v>
      </c>
      <c r="J333" s="3"/>
      <c r="K333" s="3"/>
      <c r="L333" s="3">
        <f>VLOOKUP("NC, E",'[1]Raw Data'!$B$2:$O$102,5,FALSE)</f>
        <v>493</v>
      </c>
      <c r="M333" s="3"/>
      <c r="N333" s="3"/>
      <c r="O333" s="3">
        <f>VLOOKUP("NC, E",'[1]Raw Data'!$B$2:$O$102,6,FALSE)</f>
        <v>1304</v>
      </c>
    </row>
    <row r="334" spans="1:15" ht="13.5" customHeight="1" x14ac:dyDescent="0.3">
      <c r="A334" s="1"/>
      <c r="B334" s="1" t="s">
        <v>3</v>
      </c>
      <c r="C334" s="1"/>
      <c r="D334" s="1"/>
      <c r="E334" s="1"/>
      <c r="F334" s="3">
        <f>VLOOKUP("NC, E",'[1]Raw Data'!$B$2:$O$102,7,FALSE)</f>
        <v>595</v>
      </c>
      <c r="G334" s="3"/>
      <c r="H334" s="3"/>
      <c r="I334" s="3">
        <f>VLOOKUP("NC, E",'[1]Raw Data'!$B$2:$O$102,8,FALSE)</f>
        <v>133</v>
      </c>
      <c r="J334" s="3"/>
      <c r="K334" s="3"/>
      <c r="L334" s="3">
        <f>VLOOKUP("NC, E",'[1]Raw Data'!$B$2:$O$102,9,FALSE)</f>
        <v>258</v>
      </c>
      <c r="M334" s="3"/>
      <c r="N334" s="3"/>
      <c r="O334" s="3">
        <f>VLOOKUP("NC, E",'[1]Raw Data'!$B$2:$O$102,10,FALSE)</f>
        <v>470</v>
      </c>
    </row>
    <row r="335" spans="1:15" ht="13.5" customHeight="1" x14ac:dyDescent="0.3">
      <c r="A335" s="1"/>
      <c r="B335" s="1" t="s">
        <v>2</v>
      </c>
      <c r="C335" s="1"/>
      <c r="D335" s="1"/>
      <c r="E335" s="1"/>
      <c r="F335" s="3">
        <f>VLOOKUP("NC, E",'[1]Raw Data'!$B$2:$O$102,11,FALSE)</f>
        <v>1305</v>
      </c>
      <c r="G335" s="3"/>
      <c r="H335" s="3"/>
      <c r="I335" s="3">
        <f>VLOOKUP("NC, E",'[1]Raw Data'!$B$2:$O$102,12,FALSE)</f>
        <v>813</v>
      </c>
      <c r="J335" s="3"/>
      <c r="K335" s="3"/>
      <c r="L335" s="3">
        <f>VLOOKUP("NC, E",'[1]Raw Data'!$B$2:$O$102,13,FALSE)</f>
        <v>584</v>
      </c>
      <c r="M335" s="3"/>
      <c r="N335" s="3"/>
      <c r="O335" s="3">
        <f>VLOOKUP("NC, E",'[1]Raw Data'!$B$2:$O$102,14,FALSE)</f>
        <v>1534</v>
      </c>
    </row>
    <row r="336" spans="1:15" ht="12" customHeight="1" x14ac:dyDescent="0.3"/>
    <row r="337" spans="1:16" ht="12" customHeight="1" x14ac:dyDescent="0.3"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6" ht="15" customHeight="1" x14ac:dyDescent="0.3">
      <c r="A338" s="7" t="str">
        <f>"Table K-1. (September 30, "&amp;'[1]Raw Data'!$A$2&amp;"—Continued)"</f>
        <v>Table K-1. (September 30, 2022—Continued)</v>
      </c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6" ht="12" customHeight="1" x14ac:dyDescent="0.3"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6" ht="15" customHeight="1" x14ac:dyDescent="0.3">
      <c r="A340" s="11" t="s">
        <v>12</v>
      </c>
      <c r="B340" s="11"/>
      <c r="C340" s="11"/>
      <c r="D340" s="12"/>
      <c r="E340" s="10" t="s">
        <v>10</v>
      </c>
      <c r="F340" s="11"/>
      <c r="G340" s="12"/>
      <c r="H340" s="10" t="s">
        <v>11</v>
      </c>
      <c r="I340" s="11"/>
      <c r="J340" s="12"/>
      <c r="K340" s="10" t="s">
        <v>11</v>
      </c>
      <c r="L340" s="11"/>
      <c r="M340" s="12"/>
      <c r="N340" s="10" t="s">
        <v>10</v>
      </c>
      <c r="O340" s="11"/>
      <c r="P340" s="11"/>
    </row>
    <row r="341" spans="1:16" ht="13.5" customHeight="1" x14ac:dyDescent="0.3">
      <c r="A341" s="14" t="s">
        <v>9</v>
      </c>
      <c r="B341" s="14"/>
      <c r="C341" s="14"/>
      <c r="D341" s="15"/>
      <c r="E341" s="13" t="s">
        <v>8</v>
      </c>
      <c r="F341" s="14"/>
      <c r="G341" s="15"/>
      <c r="H341" s="13" t="s">
        <v>7</v>
      </c>
      <c r="I341" s="14"/>
      <c r="J341" s="15"/>
      <c r="K341" s="13" t="s">
        <v>6</v>
      </c>
      <c r="L341" s="14"/>
      <c r="M341" s="15"/>
      <c r="N341" s="13" t="s">
        <v>5</v>
      </c>
      <c r="O341" s="14"/>
      <c r="P341" s="14"/>
    </row>
    <row r="342" spans="1:16" ht="3.7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3.5" customHeight="1" x14ac:dyDescent="0.3"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6" ht="13.5" customHeight="1" x14ac:dyDescent="0.3">
      <c r="A344" s="1"/>
      <c r="B344" s="1"/>
      <c r="C344" s="5" t="str">
        <f>IF(VLOOKUP("NC, M",'[1]Raw Data'!$B$2:$O$102,2,FALSE)="CDO","NC, M"&amp;" "&amp;CHAR(178),"NC, M")</f>
        <v>NC, M</v>
      </c>
      <c r="D344" s="1"/>
      <c r="F344" s="4">
        <f>SUM(F345:F347)</f>
        <v>638</v>
      </c>
      <c r="G344" s="4"/>
      <c r="H344" s="4"/>
      <c r="I344" s="4">
        <f>SUM(I345:I347)</f>
        <v>360</v>
      </c>
      <c r="J344" s="4"/>
      <c r="K344" s="4"/>
      <c r="L344" s="4">
        <f>SUM(L345:L347)</f>
        <v>395</v>
      </c>
      <c r="M344" s="4"/>
      <c r="N344" s="4"/>
      <c r="O344" s="4">
        <f>SUM(O345:O347)</f>
        <v>603</v>
      </c>
    </row>
    <row r="345" spans="1:16" ht="13.5" customHeight="1" x14ac:dyDescent="0.3">
      <c r="A345" s="1"/>
      <c r="B345" s="1" t="s">
        <v>4</v>
      </c>
      <c r="C345" s="1"/>
      <c r="D345" s="1"/>
      <c r="E345" s="1"/>
      <c r="F345" s="3">
        <f>VLOOKUP("NC, M",'[1]Raw Data'!$B$2:$O$102,3,FALSE)</f>
        <v>307</v>
      </c>
      <c r="G345" s="3"/>
      <c r="H345" s="3"/>
      <c r="I345" s="3">
        <f>VLOOKUP("NC, M",'[1]Raw Data'!$B$2:$O$102,4,FALSE)</f>
        <v>221</v>
      </c>
      <c r="J345" s="3"/>
      <c r="K345" s="3"/>
      <c r="L345" s="3">
        <f>VLOOKUP("NC, M",'[1]Raw Data'!$B$2:$O$102,5,FALSE)</f>
        <v>218</v>
      </c>
      <c r="M345" s="3"/>
      <c r="N345" s="3"/>
      <c r="O345" s="3">
        <f>VLOOKUP("NC, M",'[1]Raw Data'!$B$2:$O$102,6,FALSE)</f>
        <v>310</v>
      </c>
    </row>
    <row r="346" spans="1:16" ht="13.5" customHeight="1" x14ac:dyDescent="0.3">
      <c r="A346" s="1"/>
      <c r="B346" s="1" t="s">
        <v>3</v>
      </c>
      <c r="C346" s="1"/>
      <c r="D346" s="1"/>
      <c r="E346" s="1"/>
      <c r="F346" s="3">
        <f>VLOOKUP("NC, M",'[1]Raw Data'!$B$2:$O$102,7,FALSE)</f>
        <v>121</v>
      </c>
      <c r="G346" s="3"/>
      <c r="H346" s="3"/>
      <c r="I346" s="3">
        <f>VLOOKUP("NC, M",'[1]Raw Data'!$B$2:$O$102,8,FALSE)</f>
        <v>50</v>
      </c>
      <c r="J346" s="3"/>
      <c r="K346" s="3"/>
      <c r="L346" s="3">
        <f>VLOOKUP("NC, M",'[1]Raw Data'!$B$2:$O$102,9,FALSE)</f>
        <v>61</v>
      </c>
      <c r="M346" s="3"/>
      <c r="N346" s="3"/>
      <c r="O346" s="3">
        <f>VLOOKUP("NC, M",'[1]Raw Data'!$B$2:$O$102,10,FALSE)</f>
        <v>110</v>
      </c>
    </row>
    <row r="347" spans="1:16" ht="13.5" customHeight="1" x14ac:dyDescent="0.3">
      <c r="A347" s="1"/>
      <c r="B347" s="1" t="s">
        <v>2</v>
      </c>
      <c r="C347" s="1"/>
      <c r="D347" s="1"/>
      <c r="E347" s="1"/>
      <c r="F347" s="3">
        <f>VLOOKUP("NC, M",'[1]Raw Data'!$B$2:$O$102,11,FALSE)</f>
        <v>210</v>
      </c>
      <c r="G347" s="3"/>
      <c r="H347" s="3"/>
      <c r="I347" s="3">
        <f>VLOOKUP("NC, M",'[1]Raw Data'!$B$2:$O$102,12,FALSE)</f>
        <v>89</v>
      </c>
      <c r="J347" s="3"/>
      <c r="K347" s="3"/>
      <c r="L347" s="3">
        <f>VLOOKUP("NC, M",'[1]Raw Data'!$B$2:$O$102,13,FALSE)</f>
        <v>116</v>
      </c>
      <c r="M347" s="3"/>
      <c r="N347" s="3"/>
      <c r="O347" s="3">
        <f>VLOOKUP("NC, M",'[1]Raw Data'!$B$2:$O$102,14,FALSE)</f>
        <v>183</v>
      </c>
    </row>
    <row r="348" spans="1:16" ht="12" customHeight="1" x14ac:dyDescent="0.3"/>
    <row r="349" spans="1:16" ht="13.5" customHeight="1" x14ac:dyDescent="0.3">
      <c r="A349" s="1"/>
      <c r="B349" s="1"/>
      <c r="C349" s="5" t="str">
        <f>IF(VLOOKUP("NC, W",'[1]Raw Data'!$B$2:$O$102,2,FALSE)="CDO","NC, W"&amp;" "&amp;CHAR(178),"NC, W")</f>
        <v>NC, W</v>
      </c>
      <c r="D349" s="1"/>
      <c r="F349" s="4">
        <f>SUM(F350:F352)</f>
        <v>507</v>
      </c>
      <c r="G349" s="4"/>
      <c r="H349" s="4"/>
      <c r="I349" s="4">
        <f>SUM(I350:I352)</f>
        <v>846</v>
      </c>
      <c r="J349" s="4"/>
      <c r="K349" s="4"/>
      <c r="L349" s="4">
        <f>SUM(L350:L352)</f>
        <v>882</v>
      </c>
      <c r="M349" s="4"/>
      <c r="N349" s="4"/>
      <c r="O349" s="4">
        <f>SUM(O350:O352)</f>
        <v>471</v>
      </c>
    </row>
    <row r="350" spans="1:16" ht="13.5" customHeight="1" x14ac:dyDescent="0.3">
      <c r="A350" s="1"/>
      <c r="B350" s="1" t="s">
        <v>4</v>
      </c>
      <c r="C350" s="1"/>
      <c r="D350" s="1"/>
      <c r="E350" s="1"/>
      <c r="F350" s="3">
        <f>VLOOKUP("NC, W",'[1]Raw Data'!$B$2:$O$102,3,FALSE)</f>
        <v>252</v>
      </c>
      <c r="G350" s="3"/>
      <c r="H350" s="3"/>
      <c r="I350" s="3">
        <f>VLOOKUP("NC, W",'[1]Raw Data'!$B$2:$O$102,4,FALSE)</f>
        <v>288</v>
      </c>
      <c r="J350" s="3"/>
      <c r="K350" s="3"/>
      <c r="L350" s="3">
        <f>VLOOKUP("NC, W",'[1]Raw Data'!$B$2:$O$102,5,FALSE)</f>
        <v>321</v>
      </c>
      <c r="M350" s="3"/>
      <c r="N350" s="3"/>
      <c r="O350" s="3">
        <f>VLOOKUP("NC, W",'[1]Raw Data'!$B$2:$O$102,6,FALSE)</f>
        <v>219</v>
      </c>
    </row>
    <row r="351" spans="1:16" ht="13.5" customHeight="1" x14ac:dyDescent="0.3">
      <c r="A351" s="1"/>
      <c r="B351" s="1" t="s">
        <v>3</v>
      </c>
      <c r="C351" s="1"/>
      <c r="D351" s="1"/>
      <c r="E351" s="1"/>
      <c r="F351" s="3">
        <f>VLOOKUP("NC, W",'[1]Raw Data'!$B$2:$O$102,7,FALSE)</f>
        <v>117</v>
      </c>
      <c r="G351" s="3"/>
      <c r="H351" s="3"/>
      <c r="I351" s="3">
        <f>VLOOKUP("NC, W",'[1]Raw Data'!$B$2:$O$102,8,FALSE)</f>
        <v>51</v>
      </c>
      <c r="J351" s="3"/>
      <c r="K351" s="3"/>
      <c r="L351" s="3">
        <f>VLOOKUP("NC, W",'[1]Raw Data'!$B$2:$O$102,9,FALSE)</f>
        <v>99</v>
      </c>
      <c r="M351" s="3"/>
      <c r="N351" s="3"/>
      <c r="O351" s="3">
        <f>VLOOKUP("NC, W",'[1]Raw Data'!$B$2:$O$102,10,FALSE)</f>
        <v>69</v>
      </c>
    </row>
    <row r="352" spans="1:16" ht="13.5" customHeight="1" x14ac:dyDescent="0.3">
      <c r="A352" s="1"/>
      <c r="B352" s="1" t="s">
        <v>2</v>
      </c>
      <c r="C352" s="1"/>
      <c r="D352" s="1"/>
      <c r="E352" s="1"/>
      <c r="F352" s="3">
        <f>VLOOKUP("NC, W",'[1]Raw Data'!$B$2:$O$102,11,FALSE)</f>
        <v>138</v>
      </c>
      <c r="G352" s="3"/>
      <c r="H352" s="3"/>
      <c r="I352" s="3">
        <f>VLOOKUP("NC, W",'[1]Raw Data'!$B$2:$O$102,12,FALSE)</f>
        <v>507</v>
      </c>
      <c r="J352" s="3"/>
      <c r="K352" s="3"/>
      <c r="L352" s="3">
        <f>VLOOKUP("NC, W",'[1]Raw Data'!$B$2:$O$102,13,FALSE)</f>
        <v>462</v>
      </c>
      <c r="M352" s="3"/>
      <c r="N352" s="3"/>
      <c r="O352" s="3">
        <f>VLOOKUP("NC, W",'[1]Raw Data'!$B$2:$O$102,14,FALSE)</f>
        <v>183</v>
      </c>
    </row>
    <row r="353" spans="1:15" ht="12" customHeight="1" x14ac:dyDescent="0.3"/>
    <row r="354" spans="1:15" ht="13.5" customHeight="1" x14ac:dyDescent="0.3">
      <c r="A354" s="1"/>
      <c r="B354" s="1"/>
      <c r="C354" s="5" t="str">
        <f>IF(VLOOKUP("TOT: ND/SD",'[1]Raw Data'!$B$2:$O$102,2,FALSE)="CDO","TOT: ND/SD"&amp;" "&amp;CHAR(178),"TOT: ND/SD")</f>
        <v>TOT: ND/SD</v>
      </c>
      <c r="D354" s="1"/>
      <c r="F354" s="4">
        <f>IF(SUM(F355:F357)-SUM(F364,F359)=0,SUM(F355:F357),"ERROR")</f>
        <v>654</v>
      </c>
      <c r="G354" s="4"/>
      <c r="H354" s="4"/>
      <c r="I354" s="4">
        <f>IF(SUM(I355:I357)-SUM(I364,I359)=0,SUM(I355:I357),"ERROR")</f>
        <v>1258</v>
      </c>
      <c r="J354" s="4"/>
      <c r="K354" s="4"/>
      <c r="L354" s="4">
        <f>IF(SUM(L355:L357)-SUM(L364,L359)=0,SUM(L355:L357),"ERROR")</f>
        <v>1324</v>
      </c>
      <c r="M354" s="4"/>
      <c r="N354" s="4"/>
      <c r="O354" s="4">
        <f>IF(SUM(O355:O357)-SUM(O364,O359)=0,SUM(O355:O357),"ERROR")</f>
        <v>588</v>
      </c>
    </row>
    <row r="355" spans="1:15" ht="13.5" customHeight="1" x14ac:dyDescent="0.3">
      <c r="A355" s="1"/>
      <c r="B355" s="1" t="s">
        <v>4</v>
      </c>
      <c r="C355" s="1"/>
      <c r="D355" s="1"/>
      <c r="E355" s="1"/>
      <c r="F355" s="3">
        <f>VLOOKUP("TOT: ND/SD",'[1]Raw Data'!$B$2:$O$102,3,FALSE)</f>
        <v>449</v>
      </c>
      <c r="G355" s="3"/>
      <c r="H355" s="3"/>
      <c r="I355" s="3">
        <f>VLOOKUP("TOT: ND/SD",'[1]Raw Data'!$B$2:$O$102,4,FALSE)</f>
        <v>543</v>
      </c>
      <c r="J355" s="3"/>
      <c r="K355" s="3"/>
      <c r="L355" s="3">
        <f>VLOOKUP("TOT: ND/SD",'[1]Raw Data'!$B$2:$O$102,5,FALSE)</f>
        <v>587</v>
      </c>
      <c r="M355" s="3"/>
      <c r="N355" s="3"/>
      <c r="O355" s="3">
        <f>VLOOKUP("TOT: ND/SD",'[1]Raw Data'!$B$2:$O$102,6,FALSE)</f>
        <v>405</v>
      </c>
    </row>
    <row r="356" spans="1:15" ht="13.5" customHeight="1" x14ac:dyDescent="0.3">
      <c r="A356" s="1"/>
      <c r="B356" s="1" t="s">
        <v>3</v>
      </c>
      <c r="C356" s="1"/>
      <c r="D356" s="1"/>
      <c r="E356" s="1"/>
      <c r="F356" s="3">
        <f>VLOOKUP("TOT: ND/SD",'[1]Raw Data'!$B$2:$O$102,7,FALSE)</f>
        <v>37</v>
      </c>
      <c r="G356" s="3"/>
      <c r="H356" s="3"/>
      <c r="I356" s="3">
        <f>VLOOKUP("TOT: ND/SD",'[1]Raw Data'!$B$2:$O$102,8,FALSE)</f>
        <v>71</v>
      </c>
      <c r="J356" s="3"/>
      <c r="K356" s="3"/>
      <c r="L356" s="3">
        <f>VLOOKUP("TOT: ND/SD",'[1]Raw Data'!$B$2:$O$102,9,FALSE)</f>
        <v>67</v>
      </c>
      <c r="M356" s="3"/>
      <c r="N356" s="3"/>
      <c r="O356" s="3">
        <f>VLOOKUP("TOT: ND/SD",'[1]Raw Data'!$B$2:$O$102,10,FALSE)</f>
        <v>41</v>
      </c>
    </row>
    <row r="357" spans="1:15" ht="13.5" customHeight="1" x14ac:dyDescent="0.3">
      <c r="A357" s="1"/>
      <c r="B357" s="1" t="s">
        <v>2</v>
      </c>
      <c r="C357" s="1"/>
      <c r="D357" s="1"/>
      <c r="E357" s="1"/>
      <c r="F357" s="3">
        <f>VLOOKUP("TOT: ND/SD",'[1]Raw Data'!$B$2:$O$102,11,FALSE)</f>
        <v>168</v>
      </c>
      <c r="G357" s="3"/>
      <c r="H357" s="3"/>
      <c r="I357" s="3">
        <f>VLOOKUP("TOT: ND/SD",'[1]Raw Data'!$B$2:$O$102,12,FALSE)</f>
        <v>644</v>
      </c>
      <c r="J357" s="3"/>
      <c r="K357" s="3"/>
      <c r="L357" s="3">
        <f>VLOOKUP("TOT: ND/SD",'[1]Raw Data'!$B$2:$O$102,13,FALSE)</f>
        <v>670</v>
      </c>
      <c r="M357" s="3"/>
      <c r="N357" s="3"/>
      <c r="O357" s="3">
        <f>VLOOKUP("TOT: ND/SD",'[1]Raw Data'!$B$2:$O$102,14,FALSE)</f>
        <v>142</v>
      </c>
    </row>
    <row r="358" spans="1:15" ht="12" customHeight="1" x14ac:dyDescent="0.3"/>
    <row r="359" spans="1:15" ht="13.5" customHeight="1" x14ac:dyDescent="0.3">
      <c r="A359" s="1"/>
      <c r="B359" s="1"/>
      <c r="C359" s="5" t="str">
        <f>IF(VLOOKUP("   ND",'[1]Raw Data'!$B$2:$O$102,2,FALSE)="CDO","ND"&amp;" "&amp;CHAR(178),"ND")</f>
        <v>ND</v>
      </c>
      <c r="D359" s="1"/>
      <c r="F359" s="4">
        <f>SUM(F360:F362)</f>
        <v>214</v>
      </c>
      <c r="G359" s="4"/>
      <c r="H359" s="4"/>
      <c r="I359" s="4">
        <f>SUM(I360:I362)</f>
        <v>362</v>
      </c>
      <c r="J359" s="4"/>
      <c r="K359" s="4"/>
      <c r="L359" s="4">
        <f>SUM(L360:L362)</f>
        <v>389</v>
      </c>
      <c r="M359" s="4"/>
      <c r="N359" s="4"/>
      <c r="O359" s="4">
        <f>SUM(O360:O362)</f>
        <v>187</v>
      </c>
    </row>
    <row r="360" spans="1:15" ht="13.5" customHeight="1" x14ac:dyDescent="0.3">
      <c r="A360" s="1"/>
      <c r="B360" s="1" t="s">
        <v>4</v>
      </c>
      <c r="C360" s="1"/>
      <c r="D360" s="1"/>
      <c r="E360" s="1"/>
      <c r="F360" s="3">
        <f>VLOOKUP("   ND",'[1]Raw Data'!$B$2:$O$102,3,FALSE)</f>
        <v>160</v>
      </c>
      <c r="G360" s="3"/>
      <c r="H360" s="3"/>
      <c r="I360" s="3">
        <f>VLOOKUP("   ND",'[1]Raw Data'!$B$2:$O$102,4,FALSE)</f>
        <v>155</v>
      </c>
      <c r="J360" s="3"/>
      <c r="K360" s="3"/>
      <c r="L360" s="3">
        <f>VLOOKUP("   ND",'[1]Raw Data'!$B$2:$O$102,5,FALSE)</f>
        <v>178</v>
      </c>
      <c r="M360" s="3"/>
      <c r="N360" s="3"/>
      <c r="O360" s="3">
        <f>VLOOKUP("   ND",'[1]Raw Data'!$B$2:$O$102,6,FALSE)</f>
        <v>137</v>
      </c>
    </row>
    <row r="361" spans="1:15" ht="13.5" customHeight="1" x14ac:dyDescent="0.3">
      <c r="A361" s="1"/>
      <c r="B361" s="1" t="s">
        <v>3</v>
      </c>
      <c r="C361" s="1"/>
      <c r="D361" s="1"/>
      <c r="E361" s="1"/>
      <c r="F361" s="3">
        <f>VLOOKUP("   ND",'[1]Raw Data'!$B$2:$O$102,7,FALSE)</f>
        <v>16</v>
      </c>
      <c r="G361" s="3"/>
      <c r="H361" s="3"/>
      <c r="I361" s="3">
        <f>VLOOKUP("   ND",'[1]Raw Data'!$B$2:$O$102,8,FALSE)</f>
        <v>22</v>
      </c>
      <c r="J361" s="3"/>
      <c r="K361" s="3"/>
      <c r="L361" s="3">
        <f>VLOOKUP("   ND",'[1]Raw Data'!$B$2:$O$102,9,FALSE)</f>
        <v>27</v>
      </c>
      <c r="M361" s="3"/>
      <c r="N361" s="3"/>
      <c r="O361" s="3">
        <f>VLOOKUP("   ND",'[1]Raw Data'!$B$2:$O$102,10,FALSE)</f>
        <v>11</v>
      </c>
    </row>
    <row r="362" spans="1:15" ht="13.5" customHeight="1" x14ac:dyDescent="0.3">
      <c r="A362" s="1"/>
      <c r="B362" s="1" t="s">
        <v>2</v>
      </c>
      <c r="C362" s="1"/>
      <c r="D362" s="1"/>
      <c r="E362" s="1"/>
      <c r="F362" s="3">
        <f>VLOOKUP("   ND",'[1]Raw Data'!$B$2:$O$102,11,FALSE)</f>
        <v>38</v>
      </c>
      <c r="G362" s="3"/>
      <c r="H362" s="3"/>
      <c r="I362" s="3">
        <f>VLOOKUP("   ND",'[1]Raw Data'!$B$2:$O$102,12,FALSE)</f>
        <v>185</v>
      </c>
      <c r="J362" s="3"/>
      <c r="K362" s="3"/>
      <c r="L362" s="3">
        <f>VLOOKUP("   ND",'[1]Raw Data'!$B$2:$O$102,13,FALSE)</f>
        <v>184</v>
      </c>
      <c r="M362" s="3"/>
      <c r="N362" s="3"/>
      <c r="O362" s="3">
        <f>VLOOKUP("   ND",'[1]Raw Data'!$B$2:$O$102,14,FALSE)</f>
        <v>39</v>
      </c>
    </row>
    <row r="363" spans="1:15" ht="12" customHeight="1" x14ac:dyDescent="0.3"/>
    <row r="364" spans="1:15" ht="13.5" customHeight="1" x14ac:dyDescent="0.3">
      <c r="A364" s="1"/>
      <c r="B364" s="1"/>
      <c r="C364" s="5" t="str">
        <f>IF(VLOOKUP("   SD",'[1]Raw Data'!$B$2:$O$102,2,FALSE)="CDO","SD"&amp;" "&amp;CHAR(178),"SD")</f>
        <v>SD</v>
      </c>
      <c r="D364" s="1"/>
      <c r="F364" s="4">
        <f>SUM(F365:F367)</f>
        <v>440</v>
      </c>
      <c r="G364" s="4"/>
      <c r="H364" s="4"/>
      <c r="I364" s="4">
        <f>SUM(I365:I367)</f>
        <v>896</v>
      </c>
      <c r="J364" s="4"/>
      <c r="K364" s="4"/>
      <c r="L364" s="4">
        <f>SUM(L365:L367)</f>
        <v>935</v>
      </c>
      <c r="M364" s="4"/>
      <c r="N364" s="4"/>
      <c r="O364" s="4">
        <f>SUM(O365:O367)</f>
        <v>401</v>
      </c>
    </row>
    <row r="365" spans="1:15" ht="13.5" customHeight="1" x14ac:dyDescent="0.3">
      <c r="A365" s="1"/>
      <c r="B365" s="1" t="s">
        <v>4</v>
      </c>
      <c r="C365" s="1"/>
      <c r="D365" s="1"/>
      <c r="E365" s="1"/>
      <c r="F365" s="3">
        <f>VLOOKUP("   SD",'[1]Raw Data'!$B$2:$O$102,3,FALSE)</f>
        <v>289</v>
      </c>
      <c r="G365" s="3"/>
      <c r="H365" s="3"/>
      <c r="I365" s="3">
        <f>VLOOKUP("   SD",'[1]Raw Data'!$B$2:$O$102,4,FALSE)</f>
        <v>388</v>
      </c>
      <c r="J365" s="3"/>
      <c r="K365" s="3"/>
      <c r="L365" s="3">
        <f>VLOOKUP("   SD",'[1]Raw Data'!$B$2:$O$102,5,FALSE)</f>
        <v>409</v>
      </c>
      <c r="M365" s="3"/>
      <c r="N365" s="3"/>
      <c r="O365" s="3">
        <f>VLOOKUP("   SD",'[1]Raw Data'!$B$2:$O$102,6,FALSE)</f>
        <v>268</v>
      </c>
    </row>
    <row r="366" spans="1:15" ht="13.5" customHeight="1" x14ac:dyDescent="0.3">
      <c r="A366" s="1"/>
      <c r="B366" s="1" t="s">
        <v>3</v>
      </c>
      <c r="C366" s="1"/>
      <c r="D366" s="1"/>
      <c r="E366" s="1"/>
      <c r="F366" s="3">
        <f>VLOOKUP("   SD",'[1]Raw Data'!$B$2:$O$102,7,FALSE)</f>
        <v>21</v>
      </c>
      <c r="G366" s="3"/>
      <c r="H366" s="3"/>
      <c r="I366" s="3">
        <f>VLOOKUP("   SD",'[1]Raw Data'!$B$2:$O$102,8,FALSE)</f>
        <v>49</v>
      </c>
      <c r="J366" s="3"/>
      <c r="K366" s="3"/>
      <c r="L366" s="3">
        <f>VLOOKUP("   SD",'[1]Raw Data'!$B$2:$O$102,9,FALSE)</f>
        <v>40</v>
      </c>
      <c r="M366" s="3"/>
      <c r="N366" s="3"/>
      <c r="O366" s="3">
        <f>VLOOKUP("   SD",'[1]Raw Data'!$B$2:$O$102,10,FALSE)</f>
        <v>30</v>
      </c>
    </row>
    <row r="367" spans="1:15" ht="13.5" customHeight="1" x14ac:dyDescent="0.3">
      <c r="A367" s="1"/>
      <c r="B367" s="1" t="s">
        <v>2</v>
      </c>
      <c r="C367" s="1"/>
      <c r="D367" s="1"/>
      <c r="E367" s="1"/>
      <c r="F367" s="3">
        <f>VLOOKUP("   SD",'[1]Raw Data'!$B$2:$O$102,11,FALSE)</f>
        <v>130</v>
      </c>
      <c r="G367" s="3"/>
      <c r="H367" s="3"/>
      <c r="I367" s="3">
        <f>VLOOKUP("   SD",'[1]Raw Data'!$B$2:$O$102,12,FALSE)</f>
        <v>459</v>
      </c>
      <c r="J367" s="3"/>
      <c r="K367" s="3"/>
      <c r="L367" s="3">
        <f>VLOOKUP("   SD",'[1]Raw Data'!$B$2:$O$102,13,FALSE)</f>
        <v>486</v>
      </c>
      <c r="M367" s="3"/>
      <c r="N367" s="3"/>
      <c r="O367" s="3">
        <f>VLOOKUP("   SD",'[1]Raw Data'!$B$2:$O$102,14,FALSE)</f>
        <v>103</v>
      </c>
    </row>
    <row r="368" spans="1:15" ht="12" customHeight="1" x14ac:dyDescent="0.3"/>
    <row r="369" spans="1:16" ht="13.5" customHeight="1" x14ac:dyDescent="0.3">
      <c r="A369" s="1"/>
      <c r="B369" s="1"/>
      <c r="C369" s="5" t="str">
        <f>IF(VLOOKUP("NE",'[1]Raw Data'!$B$2:$O$102,2,FALSE)="CDO","NE"&amp;" "&amp;CHAR(178),"NE")</f>
        <v>NE</v>
      </c>
      <c r="D369" s="1"/>
      <c r="F369" s="4">
        <f>SUM(F370:F372)</f>
        <v>472</v>
      </c>
      <c r="G369" s="4"/>
      <c r="H369" s="4"/>
      <c r="I369" s="4">
        <f>SUM(I370:I372)</f>
        <v>588</v>
      </c>
      <c r="J369" s="4"/>
      <c r="K369" s="4"/>
      <c r="L369" s="4">
        <f>SUM(L370:L372)</f>
        <v>618</v>
      </c>
      <c r="M369" s="4"/>
      <c r="N369" s="4"/>
      <c r="O369" s="4">
        <f>SUM(O370:O372)</f>
        <v>443</v>
      </c>
    </row>
    <row r="370" spans="1:16" ht="13.5" customHeight="1" x14ac:dyDescent="0.3">
      <c r="A370" s="1"/>
      <c r="B370" s="1" t="s">
        <v>4</v>
      </c>
      <c r="C370" s="1"/>
      <c r="D370" s="1"/>
      <c r="E370" s="1"/>
      <c r="F370" s="3">
        <f>VLOOKUP("NE",'[1]Raw Data'!$B$2:$O$102,3,FALSE)</f>
        <v>270</v>
      </c>
      <c r="G370" s="3"/>
      <c r="H370" s="3"/>
      <c r="I370" s="3">
        <f>VLOOKUP("NE",'[1]Raw Data'!$B$2:$O$102,4,FALSE)</f>
        <v>321</v>
      </c>
      <c r="J370" s="3"/>
      <c r="K370" s="3"/>
      <c r="L370" s="3">
        <f>VLOOKUP("NE",'[1]Raw Data'!$B$2:$O$102,5,FALSE)</f>
        <v>330</v>
      </c>
      <c r="M370" s="3"/>
      <c r="N370" s="3"/>
      <c r="O370" s="3">
        <f>VLOOKUP("NE",'[1]Raw Data'!$B$2:$O$102,6,FALSE)</f>
        <v>261</v>
      </c>
    </row>
    <row r="371" spans="1:16" ht="13.5" customHeight="1" x14ac:dyDescent="0.3">
      <c r="A371" s="1"/>
      <c r="B371" s="1" t="s">
        <v>3</v>
      </c>
      <c r="C371" s="1"/>
      <c r="D371" s="1"/>
      <c r="E371" s="1"/>
      <c r="F371" s="3">
        <f>VLOOKUP("NE",'[1]Raw Data'!$B$2:$O$102,7,FALSE)</f>
        <v>16</v>
      </c>
      <c r="G371" s="3"/>
      <c r="H371" s="3"/>
      <c r="I371" s="3">
        <f>VLOOKUP("NE",'[1]Raw Data'!$B$2:$O$102,8,FALSE)</f>
        <v>22</v>
      </c>
      <c r="J371" s="3"/>
      <c r="K371" s="3"/>
      <c r="L371" s="3">
        <f>VLOOKUP("NE",'[1]Raw Data'!$B$2:$O$102,9,FALSE)</f>
        <v>26</v>
      </c>
      <c r="M371" s="3"/>
      <c r="N371" s="3"/>
      <c r="O371" s="3">
        <f>VLOOKUP("NE",'[1]Raw Data'!$B$2:$O$102,10,FALSE)</f>
        <v>12</v>
      </c>
    </row>
    <row r="372" spans="1:16" ht="13.5" customHeight="1" x14ac:dyDescent="0.3">
      <c r="A372" s="1"/>
      <c r="B372" s="1" t="s">
        <v>2</v>
      </c>
      <c r="C372" s="1"/>
      <c r="D372" s="1"/>
      <c r="E372" s="1"/>
      <c r="F372" s="3">
        <f>VLOOKUP("NE",'[1]Raw Data'!$B$2:$O$102,11,FALSE)</f>
        <v>186</v>
      </c>
      <c r="G372" s="3"/>
      <c r="H372" s="3"/>
      <c r="I372" s="3">
        <f>VLOOKUP("NE",'[1]Raw Data'!$B$2:$O$102,12,FALSE)</f>
        <v>245</v>
      </c>
      <c r="J372" s="3"/>
      <c r="K372" s="3"/>
      <c r="L372" s="3">
        <f>VLOOKUP("NE",'[1]Raw Data'!$B$2:$O$102,13,FALSE)</f>
        <v>262</v>
      </c>
      <c r="M372" s="3"/>
      <c r="N372" s="3"/>
      <c r="O372" s="3">
        <f>VLOOKUP("NE",'[1]Raw Data'!$B$2:$O$102,14,FALSE)</f>
        <v>170</v>
      </c>
    </row>
    <row r="373" spans="1:16" ht="12" customHeight="1" x14ac:dyDescent="0.3"/>
    <row r="374" spans="1:16" ht="13.5" customHeight="1" x14ac:dyDescent="0.3">
      <c r="A374" s="1"/>
      <c r="B374" s="1"/>
      <c r="C374" s="5" t="str">
        <f>IF(VLOOKUP("NJ",'[1]Raw Data'!$B$2:$O$102,2,FALSE)="CDO","NJ"&amp;" "&amp;CHAR(178),"NJ")</f>
        <v>NJ</v>
      </c>
      <c r="D374" s="1"/>
      <c r="F374" s="4">
        <f>SUM(F375:F377)</f>
        <v>1042</v>
      </c>
      <c r="G374" s="4"/>
      <c r="H374" s="4"/>
      <c r="I374" s="4">
        <f>SUM(I375:I377)</f>
        <v>887</v>
      </c>
      <c r="J374" s="4"/>
      <c r="K374" s="4"/>
      <c r="L374" s="4">
        <f>SUM(L375:L377)</f>
        <v>889</v>
      </c>
      <c r="M374" s="4"/>
      <c r="N374" s="4"/>
      <c r="O374" s="4">
        <f>SUM(O375:O377)</f>
        <v>1040</v>
      </c>
    </row>
    <row r="375" spans="1:16" ht="13.5" customHeight="1" x14ac:dyDescent="0.3">
      <c r="A375" s="1"/>
      <c r="B375" s="1" t="s">
        <v>4</v>
      </c>
      <c r="C375" s="1"/>
      <c r="D375" s="1"/>
      <c r="E375" s="1"/>
      <c r="F375" s="3">
        <f>VLOOKUP("NJ",'[1]Raw Data'!$B$2:$O$102,3,FALSE)</f>
        <v>640</v>
      </c>
      <c r="G375" s="3"/>
      <c r="H375" s="3"/>
      <c r="I375" s="3">
        <f>VLOOKUP("NJ",'[1]Raw Data'!$B$2:$O$102,4,FALSE)</f>
        <v>540</v>
      </c>
      <c r="J375" s="3"/>
      <c r="K375" s="3"/>
      <c r="L375" s="3">
        <f>VLOOKUP("NJ",'[1]Raw Data'!$B$2:$O$102,5,FALSE)</f>
        <v>505</v>
      </c>
      <c r="M375" s="3"/>
      <c r="N375" s="3"/>
      <c r="O375" s="3">
        <f>VLOOKUP("NJ",'[1]Raw Data'!$B$2:$O$102,6,FALSE)</f>
        <v>675</v>
      </c>
    </row>
    <row r="376" spans="1:16" ht="13.5" customHeight="1" x14ac:dyDescent="0.3">
      <c r="A376" s="1"/>
      <c r="B376" s="1" t="s">
        <v>3</v>
      </c>
      <c r="C376" s="1"/>
      <c r="D376" s="1"/>
      <c r="E376" s="1"/>
      <c r="F376" s="3">
        <f>VLOOKUP("NJ",'[1]Raw Data'!$B$2:$O$102,7,FALSE)</f>
        <v>52</v>
      </c>
      <c r="G376" s="3"/>
      <c r="H376" s="3"/>
      <c r="I376" s="3">
        <f>VLOOKUP("NJ",'[1]Raw Data'!$B$2:$O$102,8,FALSE)</f>
        <v>40</v>
      </c>
      <c r="J376" s="3"/>
      <c r="K376" s="3"/>
      <c r="L376" s="3">
        <f>VLOOKUP("NJ",'[1]Raw Data'!$B$2:$O$102,9,FALSE)</f>
        <v>46</v>
      </c>
      <c r="M376" s="3"/>
      <c r="N376" s="3"/>
      <c r="O376" s="3">
        <f>VLOOKUP("NJ",'[1]Raw Data'!$B$2:$O$102,10,FALSE)</f>
        <v>46</v>
      </c>
    </row>
    <row r="377" spans="1:16" ht="13.5" customHeight="1" x14ac:dyDescent="0.3">
      <c r="A377" s="1"/>
      <c r="B377" s="1" t="s">
        <v>2</v>
      </c>
      <c r="C377" s="1"/>
      <c r="D377" s="1"/>
      <c r="E377" s="1"/>
      <c r="F377" s="3">
        <f>VLOOKUP("NJ",'[1]Raw Data'!$B$2:$O$102,11,FALSE)</f>
        <v>350</v>
      </c>
      <c r="G377" s="3"/>
      <c r="H377" s="3"/>
      <c r="I377" s="3">
        <f>VLOOKUP("NJ",'[1]Raw Data'!$B$2:$O$102,12,FALSE)</f>
        <v>307</v>
      </c>
      <c r="J377" s="3"/>
      <c r="K377" s="3"/>
      <c r="L377" s="3">
        <f>VLOOKUP("NJ",'[1]Raw Data'!$B$2:$O$102,13,FALSE)</f>
        <v>338</v>
      </c>
      <c r="M377" s="3"/>
      <c r="N377" s="3"/>
      <c r="O377" s="3">
        <f>VLOOKUP("NJ",'[1]Raw Data'!$B$2:$O$102,14,FALSE)</f>
        <v>319</v>
      </c>
    </row>
    <row r="378" spans="1:16" ht="12" customHeight="1" x14ac:dyDescent="0.3"/>
    <row r="379" spans="1:16" ht="12" customHeight="1" x14ac:dyDescent="0.3"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6" ht="15" customHeight="1" x14ac:dyDescent="0.3">
      <c r="A380" s="7" t="str">
        <f>"Table K-1. (September 30, "&amp;'[1]Raw Data'!$A$2&amp;"—Continued)"</f>
        <v>Table K-1. (September 30, 2022—Continued)</v>
      </c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6" ht="12" customHeight="1" x14ac:dyDescent="0.3"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6" ht="15" customHeight="1" x14ac:dyDescent="0.3">
      <c r="A382" s="11" t="s">
        <v>12</v>
      </c>
      <c r="B382" s="11"/>
      <c r="C382" s="11"/>
      <c r="D382" s="12"/>
      <c r="E382" s="10" t="s">
        <v>10</v>
      </c>
      <c r="F382" s="11"/>
      <c r="G382" s="12"/>
      <c r="H382" s="10" t="s">
        <v>11</v>
      </c>
      <c r="I382" s="11"/>
      <c r="J382" s="12"/>
      <c r="K382" s="10" t="s">
        <v>11</v>
      </c>
      <c r="L382" s="11"/>
      <c r="M382" s="12"/>
      <c r="N382" s="10" t="s">
        <v>10</v>
      </c>
      <c r="O382" s="11"/>
      <c r="P382" s="11"/>
    </row>
    <row r="383" spans="1:16" ht="13.5" customHeight="1" x14ac:dyDescent="0.3">
      <c r="A383" s="14" t="s">
        <v>9</v>
      </c>
      <c r="B383" s="14"/>
      <c r="C383" s="14"/>
      <c r="D383" s="15"/>
      <c r="E383" s="13" t="s">
        <v>8</v>
      </c>
      <c r="F383" s="14"/>
      <c r="G383" s="15"/>
      <c r="H383" s="13" t="s">
        <v>7</v>
      </c>
      <c r="I383" s="14"/>
      <c r="J383" s="15"/>
      <c r="K383" s="13" t="s">
        <v>6</v>
      </c>
      <c r="L383" s="14"/>
      <c r="M383" s="15"/>
      <c r="N383" s="13" t="s">
        <v>5</v>
      </c>
      <c r="O383" s="14"/>
      <c r="P383" s="14"/>
    </row>
    <row r="384" spans="1:16" ht="3.7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5" ht="13.5" customHeight="1" x14ac:dyDescent="0.3"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3.5" customHeight="1" x14ac:dyDescent="0.3">
      <c r="A386" s="1"/>
      <c r="B386" s="1"/>
      <c r="C386" s="5" t="str">
        <f>IF(VLOOKUP("NM",'[1]Raw Data'!$B$2:$O$102,2,FALSE)="CDO","NM"&amp;" "&amp;CHAR(178),"NM")</f>
        <v>NM</v>
      </c>
      <c r="D386" s="1"/>
      <c r="F386" s="4">
        <f>SUM(F387:F389)</f>
        <v>1452</v>
      </c>
      <c r="G386" s="4"/>
      <c r="H386" s="4"/>
      <c r="I386" s="4">
        <f>SUM(I387:I389)</f>
        <v>3201</v>
      </c>
      <c r="J386" s="4"/>
      <c r="K386" s="4"/>
      <c r="L386" s="4">
        <f>SUM(L387:L389)</f>
        <v>3309</v>
      </c>
      <c r="M386" s="4"/>
      <c r="N386" s="4"/>
      <c r="O386" s="4">
        <f>SUM(O387:O389)</f>
        <v>1344</v>
      </c>
    </row>
    <row r="387" spans="1:15" ht="13.5" customHeight="1" x14ac:dyDescent="0.3">
      <c r="A387" s="1"/>
      <c r="B387" s="1" t="s">
        <v>4</v>
      </c>
      <c r="C387" s="1"/>
      <c r="D387" s="1"/>
      <c r="E387" s="1"/>
      <c r="F387" s="3">
        <f>VLOOKUP("NM",'[1]Raw Data'!$B$2:$O$102,3,FALSE)</f>
        <v>1169</v>
      </c>
      <c r="G387" s="3"/>
      <c r="H387" s="3"/>
      <c r="I387" s="3">
        <f>VLOOKUP("NM",'[1]Raw Data'!$B$2:$O$102,4,FALSE)</f>
        <v>1637</v>
      </c>
      <c r="J387" s="3"/>
      <c r="K387" s="3"/>
      <c r="L387" s="3">
        <f>VLOOKUP("NM",'[1]Raw Data'!$B$2:$O$102,5,FALSE)</f>
        <v>1727</v>
      </c>
      <c r="M387" s="3"/>
      <c r="N387" s="3"/>
      <c r="O387" s="3">
        <f>VLOOKUP("NM",'[1]Raw Data'!$B$2:$O$102,6,FALSE)</f>
        <v>1079</v>
      </c>
    </row>
    <row r="388" spans="1:15" ht="13.5" customHeight="1" x14ac:dyDescent="0.3">
      <c r="A388" s="1"/>
      <c r="B388" s="1" t="s">
        <v>3</v>
      </c>
      <c r="C388" s="1"/>
      <c r="D388" s="1"/>
      <c r="E388" s="1"/>
      <c r="F388" s="3">
        <f>VLOOKUP("NM",'[1]Raw Data'!$B$2:$O$102,7,FALSE)</f>
        <v>34</v>
      </c>
      <c r="G388" s="3"/>
      <c r="H388" s="3"/>
      <c r="I388" s="3">
        <f>VLOOKUP("NM",'[1]Raw Data'!$B$2:$O$102,8,FALSE)</f>
        <v>34</v>
      </c>
      <c r="J388" s="3"/>
      <c r="K388" s="3"/>
      <c r="L388" s="3">
        <f>VLOOKUP("NM",'[1]Raw Data'!$B$2:$O$102,9,FALSE)</f>
        <v>45</v>
      </c>
      <c r="M388" s="3"/>
      <c r="N388" s="3"/>
      <c r="O388" s="3">
        <f>VLOOKUP("NM",'[1]Raw Data'!$B$2:$O$102,10,FALSE)</f>
        <v>23</v>
      </c>
    </row>
    <row r="389" spans="1:15" ht="13.5" customHeight="1" x14ac:dyDescent="0.3">
      <c r="A389" s="1"/>
      <c r="B389" s="1" t="s">
        <v>2</v>
      </c>
      <c r="C389" s="1"/>
      <c r="D389" s="1"/>
      <c r="E389" s="1"/>
      <c r="F389" s="3">
        <f>VLOOKUP("NM",'[1]Raw Data'!$B$2:$O$102,11,FALSE)</f>
        <v>249</v>
      </c>
      <c r="G389" s="3"/>
      <c r="H389" s="3"/>
      <c r="I389" s="3">
        <f>VLOOKUP("NM",'[1]Raw Data'!$B$2:$O$102,12,FALSE)</f>
        <v>1530</v>
      </c>
      <c r="J389" s="3"/>
      <c r="K389" s="3"/>
      <c r="L389" s="3">
        <f>VLOOKUP("NM",'[1]Raw Data'!$B$2:$O$102,13,FALSE)</f>
        <v>1537</v>
      </c>
      <c r="M389" s="3"/>
      <c r="N389" s="3"/>
      <c r="O389" s="3">
        <f>VLOOKUP("NM",'[1]Raw Data'!$B$2:$O$102,14,FALSE)</f>
        <v>242</v>
      </c>
    </row>
    <row r="390" spans="1:15" ht="12" customHeight="1" x14ac:dyDescent="0.3"/>
    <row r="391" spans="1:15" ht="13.5" customHeight="1" x14ac:dyDescent="0.3">
      <c r="A391" s="1"/>
      <c r="B391" s="1"/>
      <c r="C391" s="5" t="str">
        <f>IF(VLOOKUP("NV",'[1]Raw Data'!$B$2:$O$102,2,FALSE)="CDO","NV"&amp;" "&amp;CHAR(178),"NV")</f>
        <v>NV</v>
      </c>
      <c r="D391" s="1"/>
      <c r="F391" s="4">
        <f>SUM(F392:F394)</f>
        <v>1255</v>
      </c>
      <c r="G391" s="4"/>
      <c r="H391" s="4"/>
      <c r="I391" s="4">
        <f>SUM(I392:I394)</f>
        <v>927</v>
      </c>
      <c r="J391" s="4"/>
      <c r="K391" s="4"/>
      <c r="L391" s="4">
        <f>SUM(L392:L394)</f>
        <v>1116</v>
      </c>
      <c r="M391" s="4"/>
      <c r="N391" s="4"/>
      <c r="O391" s="4">
        <f>SUM(O392:O394)</f>
        <v>1066</v>
      </c>
    </row>
    <row r="392" spans="1:15" ht="13.5" customHeight="1" x14ac:dyDescent="0.3">
      <c r="A392" s="1"/>
      <c r="B392" s="1" t="s">
        <v>4</v>
      </c>
      <c r="C392" s="1"/>
      <c r="D392" s="1"/>
      <c r="E392" s="1"/>
      <c r="F392" s="3">
        <f>VLOOKUP("NV",'[1]Raw Data'!$B$2:$O$102,3,FALSE)</f>
        <v>440</v>
      </c>
      <c r="G392" s="3"/>
      <c r="H392" s="3"/>
      <c r="I392" s="3">
        <f>VLOOKUP("NV",'[1]Raw Data'!$B$2:$O$102,4,FALSE)</f>
        <v>392</v>
      </c>
      <c r="J392" s="3"/>
      <c r="K392" s="3"/>
      <c r="L392" s="3">
        <f>VLOOKUP("NV",'[1]Raw Data'!$B$2:$O$102,5,FALSE)</f>
        <v>430</v>
      </c>
      <c r="M392" s="3"/>
      <c r="N392" s="3"/>
      <c r="O392" s="3">
        <f>VLOOKUP("NV",'[1]Raw Data'!$B$2:$O$102,6,FALSE)</f>
        <v>403</v>
      </c>
    </row>
    <row r="393" spans="1:15" ht="13.5" customHeight="1" x14ac:dyDescent="0.3">
      <c r="A393" s="1"/>
      <c r="B393" s="1" t="s">
        <v>3</v>
      </c>
      <c r="C393" s="1"/>
      <c r="D393" s="1"/>
      <c r="E393" s="1"/>
      <c r="F393" s="3">
        <f>VLOOKUP("NV",'[1]Raw Data'!$B$2:$O$102,7,FALSE)</f>
        <v>189</v>
      </c>
      <c r="G393" s="3"/>
      <c r="H393" s="3"/>
      <c r="I393" s="3">
        <f>VLOOKUP("NV",'[1]Raw Data'!$B$2:$O$102,8,FALSE)</f>
        <v>140</v>
      </c>
      <c r="J393" s="3"/>
      <c r="K393" s="3"/>
      <c r="L393" s="3">
        <f>VLOOKUP("NV",'[1]Raw Data'!$B$2:$O$102,9,FALSE)</f>
        <v>206</v>
      </c>
      <c r="M393" s="3"/>
      <c r="N393" s="3"/>
      <c r="O393" s="3">
        <f>VLOOKUP("NV",'[1]Raw Data'!$B$2:$O$102,10,FALSE)</f>
        <v>123</v>
      </c>
    </row>
    <row r="394" spans="1:15" ht="13.5" customHeight="1" x14ac:dyDescent="0.3">
      <c r="A394" s="1"/>
      <c r="B394" s="1" t="s">
        <v>2</v>
      </c>
      <c r="C394" s="1"/>
      <c r="D394" s="1"/>
      <c r="E394" s="1"/>
      <c r="F394" s="3">
        <f>VLOOKUP("NV",'[1]Raw Data'!$B$2:$O$102,11,FALSE)</f>
        <v>626</v>
      </c>
      <c r="G394" s="3"/>
      <c r="H394" s="3"/>
      <c r="I394" s="3">
        <f>VLOOKUP("NV",'[1]Raw Data'!$B$2:$O$102,12,FALSE)</f>
        <v>395</v>
      </c>
      <c r="J394" s="3"/>
      <c r="K394" s="3"/>
      <c r="L394" s="3">
        <f>VLOOKUP("NV",'[1]Raw Data'!$B$2:$O$102,13,FALSE)</f>
        <v>480</v>
      </c>
      <c r="M394" s="3"/>
      <c r="N394" s="3"/>
      <c r="O394" s="3">
        <f>VLOOKUP("NV",'[1]Raw Data'!$B$2:$O$102,14,FALSE)</f>
        <v>540</v>
      </c>
    </row>
    <row r="395" spans="1:15" ht="12" customHeight="1" x14ac:dyDescent="0.3"/>
    <row r="396" spans="1:15" ht="13.5" customHeight="1" x14ac:dyDescent="0.3">
      <c r="A396" s="1"/>
      <c r="B396" s="1"/>
      <c r="C396" s="5" t="str">
        <f>IF(VLOOKUP("TOT: NY, E/S",'[1]Raw Data'!$B$2:$O$102,2,FALSE)="CDO","TOT: NY, E/S"&amp;" "&amp;CHAR(178),"TOT: NY, E/S")</f>
        <v>TOT: NY, E/S ²</v>
      </c>
      <c r="D396" s="1"/>
      <c r="F396" s="4">
        <f>IF(SUM(F397:F399)-SUM(F401,F406)=0,SUM(F397:F399),"ERROR")</f>
        <v>2131</v>
      </c>
      <c r="G396" s="4"/>
      <c r="H396" s="4"/>
      <c r="I396" s="4">
        <f>IF(SUM(I397:I399)-SUM(I401,I406)=0,SUM(I397:I399),"ERROR")</f>
        <v>1256</v>
      </c>
      <c r="J396" s="4"/>
      <c r="K396" s="4"/>
      <c r="L396" s="4">
        <f>IF(SUM(L397:L399)-SUM(L401,L406)=0,SUM(L397:L399),"ERROR")</f>
        <v>1456</v>
      </c>
      <c r="M396" s="4"/>
      <c r="N396" s="4"/>
      <c r="O396" s="4">
        <f>IF(SUM(O397:O399)-SUM(O401,O406)=0,SUM(O397:O399),"ERROR")</f>
        <v>1930</v>
      </c>
    </row>
    <row r="397" spans="1:15" ht="13.5" customHeight="1" x14ac:dyDescent="0.3">
      <c r="A397" s="1"/>
      <c r="B397" s="1" t="s">
        <v>4</v>
      </c>
      <c r="C397" s="1"/>
      <c r="D397" s="1"/>
      <c r="E397" s="1"/>
      <c r="F397" s="3">
        <f>VLOOKUP("TOT: NY, E/S",'[1]Raw Data'!$B$2:$O$102,3,FALSE)</f>
        <v>1129</v>
      </c>
      <c r="G397" s="3"/>
      <c r="H397" s="3"/>
      <c r="I397" s="3">
        <f>VLOOKUP("TOT: NY, E/S",'[1]Raw Data'!$B$2:$O$102,4,FALSE)</f>
        <v>707</v>
      </c>
      <c r="J397" s="3"/>
      <c r="K397" s="3"/>
      <c r="L397" s="3">
        <f>VLOOKUP("TOT: NY, E/S",'[1]Raw Data'!$B$2:$O$102,5,FALSE)</f>
        <v>739</v>
      </c>
      <c r="M397" s="3"/>
      <c r="N397" s="3"/>
      <c r="O397" s="3">
        <f>VLOOKUP("TOT: NY, E/S",'[1]Raw Data'!$B$2:$O$102,6,FALSE)</f>
        <v>1096</v>
      </c>
    </row>
    <row r="398" spans="1:15" ht="13.5" customHeight="1" x14ac:dyDescent="0.3">
      <c r="A398" s="1"/>
      <c r="B398" s="1" t="s">
        <v>3</v>
      </c>
      <c r="C398" s="1"/>
      <c r="D398" s="1"/>
      <c r="E398" s="1"/>
      <c r="F398" s="3">
        <f>VLOOKUP("TOT: NY, E/S",'[1]Raw Data'!$B$2:$O$102,7,FALSE)</f>
        <v>374</v>
      </c>
      <c r="G398" s="3"/>
      <c r="H398" s="3"/>
      <c r="I398" s="3">
        <f>VLOOKUP("TOT: NY, E/S",'[1]Raw Data'!$B$2:$O$102,8,FALSE)</f>
        <v>162</v>
      </c>
      <c r="J398" s="3"/>
      <c r="K398" s="3"/>
      <c r="L398" s="3">
        <f>VLOOKUP("TOT: NY, E/S",'[1]Raw Data'!$B$2:$O$102,9,FALSE)</f>
        <v>269</v>
      </c>
      <c r="M398" s="3"/>
      <c r="N398" s="3"/>
      <c r="O398" s="3">
        <f>VLOOKUP("TOT: NY, E/S",'[1]Raw Data'!$B$2:$O$102,10,FALSE)</f>
        <v>267</v>
      </c>
    </row>
    <row r="399" spans="1:15" ht="13.5" customHeight="1" x14ac:dyDescent="0.3">
      <c r="A399" s="1"/>
      <c r="B399" s="1" t="s">
        <v>2</v>
      </c>
      <c r="C399" s="1"/>
      <c r="D399" s="1"/>
      <c r="E399" s="1"/>
      <c r="F399" s="3">
        <f>VLOOKUP("TOT: NY, E/S",'[1]Raw Data'!$B$2:$O$102,11,FALSE)</f>
        <v>628</v>
      </c>
      <c r="G399" s="3"/>
      <c r="H399" s="3"/>
      <c r="I399" s="3">
        <f>VLOOKUP("TOT: NY, E/S",'[1]Raw Data'!$B$2:$O$102,12,FALSE)</f>
        <v>387</v>
      </c>
      <c r="J399" s="3"/>
      <c r="K399" s="3"/>
      <c r="L399" s="3">
        <f>VLOOKUP("TOT: NY, E/S",'[1]Raw Data'!$B$2:$O$102,13,FALSE)</f>
        <v>448</v>
      </c>
      <c r="M399" s="3"/>
      <c r="N399" s="3"/>
      <c r="O399" s="3">
        <f>VLOOKUP("TOT: NY, E/S",'[1]Raw Data'!$B$2:$O$102,14,FALSE)</f>
        <v>567</v>
      </c>
    </row>
    <row r="400" spans="1:15" ht="12" customHeight="1" x14ac:dyDescent="0.3"/>
    <row r="401" spans="1:15" ht="13.5" customHeight="1" x14ac:dyDescent="0.3">
      <c r="A401" s="1"/>
      <c r="B401" s="1"/>
      <c r="C401" s="5" t="str">
        <f>IF(VLOOKUP("NY, E",'[1]Raw Data'!$B$2:$O$102,2,FALSE)="CDO","NY, E"&amp;" "&amp;CHAR(178),"NY, E")</f>
        <v>NY, E ²</v>
      </c>
      <c r="D401" s="1"/>
      <c r="F401" s="4">
        <f>SUM(F402:F404)</f>
        <v>967</v>
      </c>
      <c r="G401" s="4"/>
      <c r="H401" s="4"/>
      <c r="I401" s="4">
        <f>SUM(I402:I404)</f>
        <v>523</v>
      </c>
      <c r="J401" s="4"/>
      <c r="K401" s="4"/>
      <c r="L401" s="4">
        <f>SUM(L402:L404)</f>
        <v>661</v>
      </c>
      <c r="M401" s="4"/>
      <c r="N401" s="4"/>
      <c r="O401" s="4">
        <f>SUM(O402:O404)</f>
        <v>828</v>
      </c>
    </row>
    <row r="402" spans="1:15" ht="13.5" customHeight="1" x14ac:dyDescent="0.3">
      <c r="A402" s="1"/>
      <c r="B402" s="1" t="s">
        <v>4</v>
      </c>
      <c r="C402" s="1"/>
      <c r="D402" s="1"/>
      <c r="E402" s="1"/>
      <c r="F402" s="3">
        <f>VLOOKUP("NY, E",'[1]Raw Data'!$B$2:$O$102,3,FALSE)</f>
        <v>583</v>
      </c>
      <c r="G402" s="3"/>
      <c r="H402" s="3"/>
      <c r="I402" s="3">
        <f>VLOOKUP("NY, E",'[1]Raw Data'!$B$2:$O$102,4,FALSE)</f>
        <v>342</v>
      </c>
      <c r="J402" s="3"/>
      <c r="K402" s="3"/>
      <c r="L402" s="3">
        <f>VLOOKUP("NY, E",'[1]Raw Data'!$B$2:$O$102,5,FALSE)</f>
        <v>382</v>
      </c>
      <c r="M402" s="3"/>
      <c r="N402" s="3"/>
      <c r="O402" s="3">
        <f>VLOOKUP("NY, E",'[1]Raw Data'!$B$2:$O$102,6,FALSE)</f>
        <v>542</v>
      </c>
    </row>
    <row r="403" spans="1:15" ht="13.5" customHeight="1" x14ac:dyDescent="0.3">
      <c r="A403" s="1"/>
      <c r="B403" s="1" t="s">
        <v>3</v>
      </c>
      <c r="C403" s="1"/>
      <c r="D403" s="1"/>
      <c r="E403" s="1"/>
      <c r="F403" s="3">
        <f>VLOOKUP("NY, E",'[1]Raw Data'!$B$2:$O$102,7,FALSE)</f>
        <v>65</v>
      </c>
      <c r="G403" s="3"/>
      <c r="H403" s="3"/>
      <c r="I403" s="3">
        <f>VLOOKUP("NY, E",'[1]Raw Data'!$B$2:$O$102,8,FALSE)</f>
        <v>2</v>
      </c>
      <c r="J403" s="3"/>
      <c r="K403" s="3"/>
      <c r="L403" s="3">
        <f>VLOOKUP("NY, E",'[1]Raw Data'!$B$2:$O$102,9,FALSE)</f>
        <v>26</v>
      </c>
      <c r="M403" s="3"/>
      <c r="N403" s="3"/>
      <c r="O403" s="3">
        <f>VLOOKUP("NY, E",'[1]Raw Data'!$B$2:$O$102,10,FALSE)</f>
        <v>41</v>
      </c>
    </row>
    <row r="404" spans="1:15" ht="13.5" customHeight="1" x14ac:dyDescent="0.3">
      <c r="A404" s="1"/>
      <c r="B404" s="1" t="s">
        <v>2</v>
      </c>
      <c r="C404" s="1"/>
      <c r="D404" s="1"/>
      <c r="E404" s="1"/>
      <c r="F404" s="3">
        <f>VLOOKUP("NY, E",'[1]Raw Data'!$B$2:$O$102,11,FALSE)</f>
        <v>319</v>
      </c>
      <c r="G404" s="3"/>
      <c r="H404" s="3"/>
      <c r="I404" s="3">
        <f>VLOOKUP("NY, E",'[1]Raw Data'!$B$2:$O$102,12,FALSE)</f>
        <v>179</v>
      </c>
      <c r="J404" s="3"/>
      <c r="K404" s="3"/>
      <c r="L404" s="3">
        <f>VLOOKUP("NY, E",'[1]Raw Data'!$B$2:$O$102,13,FALSE)</f>
        <v>253</v>
      </c>
      <c r="M404" s="3"/>
      <c r="N404" s="3"/>
      <c r="O404" s="3">
        <f>VLOOKUP("NY, E",'[1]Raw Data'!$B$2:$O$102,14,FALSE)</f>
        <v>245</v>
      </c>
    </row>
    <row r="405" spans="1:15" ht="12" customHeight="1" x14ac:dyDescent="0.3"/>
    <row r="406" spans="1:15" ht="13.5" customHeight="1" x14ac:dyDescent="0.3">
      <c r="A406" s="1"/>
      <c r="B406" s="1"/>
      <c r="C406" s="5" t="str">
        <f>IF(VLOOKUP("NY, S",'[1]Raw Data'!$B$2:$O$102,2,FALSE)="CDO","NY, S"&amp;" "&amp;CHAR(178),"NY, S")</f>
        <v>NY, S ²</v>
      </c>
      <c r="D406" s="1"/>
      <c r="F406" s="4">
        <f>SUM(F407:F409)</f>
        <v>1164</v>
      </c>
      <c r="G406" s="4"/>
      <c r="H406" s="4"/>
      <c r="I406" s="4">
        <f>SUM(I407:I409)</f>
        <v>733</v>
      </c>
      <c r="J406" s="4"/>
      <c r="K406" s="4"/>
      <c r="L406" s="4">
        <f>SUM(L407:L409)</f>
        <v>795</v>
      </c>
      <c r="M406" s="4"/>
      <c r="N406" s="4"/>
      <c r="O406" s="4">
        <f>SUM(O407:O409)</f>
        <v>1102</v>
      </c>
    </row>
    <row r="407" spans="1:15" ht="13.5" customHeight="1" x14ac:dyDescent="0.3">
      <c r="A407" s="1"/>
      <c r="B407" s="1" t="s">
        <v>4</v>
      </c>
      <c r="C407" s="1"/>
      <c r="D407" s="1"/>
      <c r="E407" s="1"/>
      <c r="F407" s="3">
        <f>VLOOKUP("NY, S",'[1]Raw Data'!$B$2:$O$102,3,FALSE)</f>
        <v>546</v>
      </c>
      <c r="G407" s="3"/>
      <c r="H407" s="3"/>
      <c r="I407" s="3">
        <f>VLOOKUP("NY, S",'[1]Raw Data'!$B$2:$O$102,4,FALSE)</f>
        <v>365</v>
      </c>
      <c r="J407" s="3"/>
      <c r="K407" s="3"/>
      <c r="L407" s="3">
        <f>VLOOKUP("NY, S",'[1]Raw Data'!$B$2:$O$102,5,FALSE)</f>
        <v>357</v>
      </c>
      <c r="M407" s="3"/>
      <c r="N407" s="3"/>
      <c r="O407" s="3">
        <f>VLOOKUP("NY, S",'[1]Raw Data'!$B$2:$O$102,6,FALSE)</f>
        <v>554</v>
      </c>
    </row>
    <row r="408" spans="1:15" ht="13.5" customHeight="1" x14ac:dyDescent="0.3">
      <c r="A408" s="1"/>
      <c r="B408" s="1" t="s">
        <v>3</v>
      </c>
      <c r="C408" s="1"/>
      <c r="D408" s="1"/>
      <c r="E408" s="1"/>
      <c r="F408" s="3">
        <f>VLOOKUP("NY, S",'[1]Raw Data'!$B$2:$O$102,7,FALSE)</f>
        <v>309</v>
      </c>
      <c r="G408" s="3"/>
      <c r="H408" s="3"/>
      <c r="I408" s="3">
        <f>VLOOKUP("NY, S",'[1]Raw Data'!$B$2:$O$102,8,FALSE)</f>
        <v>160</v>
      </c>
      <c r="J408" s="3"/>
      <c r="K408" s="3"/>
      <c r="L408" s="3">
        <f>VLOOKUP("NY, S",'[1]Raw Data'!$B$2:$O$102,9,FALSE)</f>
        <v>243</v>
      </c>
      <c r="M408" s="3"/>
      <c r="N408" s="3"/>
      <c r="O408" s="3">
        <f>VLOOKUP("NY, S",'[1]Raw Data'!$B$2:$O$102,10,FALSE)</f>
        <v>226</v>
      </c>
    </row>
    <row r="409" spans="1:15" ht="13.5" customHeight="1" x14ac:dyDescent="0.3">
      <c r="A409" s="1"/>
      <c r="B409" s="1" t="s">
        <v>2</v>
      </c>
      <c r="C409" s="1"/>
      <c r="D409" s="1"/>
      <c r="E409" s="1"/>
      <c r="F409" s="3">
        <f>VLOOKUP("NY, S",'[1]Raw Data'!$B$2:$O$102,11,FALSE)</f>
        <v>309</v>
      </c>
      <c r="G409" s="3"/>
      <c r="H409" s="3"/>
      <c r="I409" s="3">
        <f>VLOOKUP("NY, S",'[1]Raw Data'!$B$2:$O$102,12,FALSE)</f>
        <v>208</v>
      </c>
      <c r="J409" s="3"/>
      <c r="K409" s="3"/>
      <c r="L409" s="3">
        <f>VLOOKUP("NY, S",'[1]Raw Data'!$B$2:$O$102,13,FALSE)</f>
        <v>195</v>
      </c>
      <c r="M409" s="3"/>
      <c r="N409" s="3"/>
      <c r="O409" s="3">
        <f>VLOOKUP("NY, S",'[1]Raw Data'!$B$2:$O$102,14,FALSE)</f>
        <v>322</v>
      </c>
    </row>
    <row r="410" spans="1:15" ht="12" customHeight="1" x14ac:dyDescent="0.3"/>
    <row r="411" spans="1:15" ht="13.5" customHeight="1" x14ac:dyDescent="0.3">
      <c r="A411" s="1"/>
      <c r="B411" s="1"/>
      <c r="C411" s="5" t="str">
        <f>IF(VLOOKUP("NY, N",'[1]Raw Data'!$B$2:$O$102,2,FALSE)="CDO","NY, N"&amp;" "&amp;CHAR(178),"NY, N")</f>
        <v>NY, N</v>
      </c>
      <c r="D411" s="1"/>
      <c r="F411" s="4">
        <f>SUM(F412:F414)</f>
        <v>400</v>
      </c>
      <c r="G411" s="4"/>
      <c r="H411" s="4"/>
      <c r="I411" s="4">
        <f>SUM(I412:I414)</f>
        <v>654</v>
      </c>
      <c r="J411" s="4"/>
      <c r="K411" s="4"/>
      <c r="L411" s="4">
        <f>SUM(L412:L414)</f>
        <v>659</v>
      </c>
      <c r="M411" s="4"/>
      <c r="N411" s="4"/>
      <c r="O411" s="4">
        <f>SUM(O412:O414)</f>
        <v>395</v>
      </c>
    </row>
    <row r="412" spans="1:15" ht="13.5" customHeight="1" x14ac:dyDescent="0.3">
      <c r="A412" s="1"/>
      <c r="B412" s="1" t="s">
        <v>4</v>
      </c>
      <c r="C412" s="1"/>
      <c r="D412" s="1"/>
      <c r="E412" s="1"/>
      <c r="F412" s="3">
        <f>VLOOKUP("NY, N",'[1]Raw Data'!$B$2:$O$102,3,FALSE)</f>
        <v>253</v>
      </c>
      <c r="G412" s="3"/>
      <c r="H412" s="3"/>
      <c r="I412" s="3">
        <f>VLOOKUP("NY, N",'[1]Raw Data'!$B$2:$O$102,4,FALSE)</f>
        <v>381</v>
      </c>
      <c r="J412" s="3"/>
      <c r="K412" s="3"/>
      <c r="L412" s="3">
        <f>VLOOKUP("NY, N",'[1]Raw Data'!$B$2:$O$102,5,FALSE)</f>
        <v>386</v>
      </c>
      <c r="M412" s="3"/>
      <c r="N412" s="3"/>
      <c r="O412" s="3">
        <f>VLOOKUP("NY, N",'[1]Raw Data'!$B$2:$O$102,6,FALSE)</f>
        <v>248</v>
      </c>
    </row>
    <row r="413" spans="1:15" ht="13.5" customHeight="1" x14ac:dyDescent="0.3">
      <c r="A413" s="1"/>
      <c r="B413" s="1" t="s">
        <v>3</v>
      </c>
      <c r="C413" s="1"/>
      <c r="D413" s="1"/>
      <c r="E413" s="1"/>
      <c r="F413" s="3">
        <f>VLOOKUP("NY, N",'[1]Raw Data'!$B$2:$O$102,7,FALSE)</f>
        <v>40</v>
      </c>
      <c r="G413" s="3"/>
      <c r="H413" s="3"/>
      <c r="I413" s="3">
        <f>VLOOKUP("NY, N",'[1]Raw Data'!$B$2:$O$102,8,FALSE)</f>
        <v>65</v>
      </c>
      <c r="J413" s="3"/>
      <c r="K413" s="3"/>
      <c r="L413" s="3">
        <f>VLOOKUP("NY, N",'[1]Raw Data'!$B$2:$O$102,9,FALSE)</f>
        <v>61</v>
      </c>
      <c r="M413" s="3"/>
      <c r="N413" s="3"/>
      <c r="O413" s="3">
        <f>VLOOKUP("NY, N",'[1]Raw Data'!$B$2:$O$102,10,FALSE)</f>
        <v>44</v>
      </c>
    </row>
    <row r="414" spans="1:15" ht="13.5" customHeight="1" x14ac:dyDescent="0.3">
      <c r="A414" s="1"/>
      <c r="B414" s="1" t="s">
        <v>2</v>
      </c>
      <c r="C414" s="1"/>
      <c r="D414" s="1"/>
      <c r="E414" s="1"/>
      <c r="F414" s="3">
        <f>VLOOKUP("NY, N",'[1]Raw Data'!$B$2:$O$102,11,FALSE)</f>
        <v>107</v>
      </c>
      <c r="G414" s="3"/>
      <c r="H414" s="3"/>
      <c r="I414" s="3">
        <f>VLOOKUP("NY, N",'[1]Raw Data'!$B$2:$O$102,12,FALSE)</f>
        <v>208</v>
      </c>
      <c r="J414" s="3"/>
      <c r="K414" s="3"/>
      <c r="L414" s="3">
        <f>VLOOKUP("NY, N",'[1]Raw Data'!$B$2:$O$102,13,FALSE)</f>
        <v>212</v>
      </c>
      <c r="M414" s="3"/>
      <c r="N414" s="3"/>
      <c r="O414" s="3">
        <f>VLOOKUP("NY, N",'[1]Raw Data'!$B$2:$O$102,14,FALSE)</f>
        <v>103</v>
      </c>
    </row>
    <row r="415" spans="1:15" ht="12" customHeight="1" x14ac:dyDescent="0.3"/>
    <row r="416" spans="1:15" ht="13.5" customHeight="1" x14ac:dyDescent="0.3">
      <c r="A416" s="1"/>
      <c r="B416" s="1"/>
      <c r="C416" s="5" t="str">
        <f>IF(VLOOKUP("NY, W",'[1]Raw Data'!$B$2:$O$102,2,FALSE)="CDO","NY, W"&amp;" "&amp;CHAR(178),"NY, W")</f>
        <v>NY, W</v>
      </c>
      <c r="D416" s="1"/>
      <c r="F416" s="4">
        <f>SUM(F417:F419)</f>
        <v>420</v>
      </c>
      <c r="G416" s="4"/>
      <c r="H416" s="4"/>
      <c r="I416" s="4">
        <f>SUM(I417:I419)</f>
        <v>461</v>
      </c>
      <c r="J416" s="4"/>
      <c r="K416" s="4"/>
      <c r="L416" s="4">
        <f>SUM(L417:L419)</f>
        <v>480</v>
      </c>
      <c r="M416" s="4"/>
      <c r="N416" s="4"/>
      <c r="O416" s="4">
        <f>SUM(O417:O419)</f>
        <v>401</v>
      </c>
    </row>
    <row r="417" spans="1:16" ht="13.5" customHeight="1" x14ac:dyDescent="0.3">
      <c r="A417" s="1"/>
      <c r="B417" s="1" t="s">
        <v>4</v>
      </c>
      <c r="C417" s="1"/>
      <c r="D417" s="1"/>
      <c r="E417" s="1"/>
      <c r="F417" s="3">
        <f>VLOOKUP("NY, W",'[1]Raw Data'!$B$2:$O$102,3,FALSE)</f>
        <v>284</v>
      </c>
      <c r="G417" s="3"/>
      <c r="H417" s="3"/>
      <c r="I417" s="3">
        <f>VLOOKUP("NY, W",'[1]Raw Data'!$B$2:$O$102,4,FALSE)</f>
        <v>212</v>
      </c>
      <c r="J417" s="3"/>
      <c r="K417" s="3"/>
      <c r="L417" s="3">
        <f>VLOOKUP("NY, W",'[1]Raw Data'!$B$2:$O$102,5,FALSE)</f>
        <v>231</v>
      </c>
      <c r="M417" s="3"/>
      <c r="N417" s="3"/>
      <c r="O417" s="3">
        <f>VLOOKUP("NY, W",'[1]Raw Data'!$B$2:$O$102,6,FALSE)</f>
        <v>265</v>
      </c>
    </row>
    <row r="418" spans="1:16" ht="13.5" customHeight="1" x14ac:dyDescent="0.3">
      <c r="A418" s="1"/>
      <c r="B418" s="1" t="s">
        <v>3</v>
      </c>
      <c r="C418" s="1"/>
      <c r="D418" s="1"/>
      <c r="E418" s="1"/>
      <c r="F418" s="3">
        <f>VLOOKUP("NY, W",'[1]Raw Data'!$B$2:$O$102,7,FALSE)</f>
        <v>23</v>
      </c>
      <c r="G418" s="3"/>
      <c r="H418" s="3"/>
      <c r="I418" s="3">
        <f>VLOOKUP("NY, W",'[1]Raw Data'!$B$2:$O$102,8,FALSE)</f>
        <v>34</v>
      </c>
      <c r="J418" s="3"/>
      <c r="K418" s="3"/>
      <c r="L418" s="3">
        <f>VLOOKUP("NY, W",'[1]Raw Data'!$B$2:$O$102,9,FALSE)</f>
        <v>33</v>
      </c>
      <c r="M418" s="3"/>
      <c r="N418" s="3"/>
      <c r="O418" s="3">
        <f>VLOOKUP("NY, W",'[1]Raw Data'!$B$2:$O$102,10,FALSE)</f>
        <v>24</v>
      </c>
    </row>
    <row r="419" spans="1:16" ht="13.5" customHeight="1" x14ac:dyDescent="0.3">
      <c r="A419" s="1"/>
      <c r="B419" s="1" t="s">
        <v>2</v>
      </c>
      <c r="C419" s="1"/>
      <c r="D419" s="1"/>
      <c r="E419" s="1"/>
      <c r="F419" s="3">
        <f>VLOOKUP("NY, W",'[1]Raw Data'!$B$2:$O$102,11,FALSE)</f>
        <v>113</v>
      </c>
      <c r="G419" s="3"/>
      <c r="H419" s="3"/>
      <c r="I419" s="3">
        <f>VLOOKUP("NY, W",'[1]Raw Data'!$B$2:$O$102,12,FALSE)</f>
        <v>215</v>
      </c>
      <c r="J419" s="3"/>
      <c r="K419" s="3"/>
      <c r="L419" s="3">
        <f>VLOOKUP("NY, W",'[1]Raw Data'!$B$2:$O$102,13,FALSE)</f>
        <v>216</v>
      </c>
      <c r="M419" s="3"/>
      <c r="N419" s="3"/>
      <c r="O419" s="3">
        <f>VLOOKUP("NY, W",'[1]Raw Data'!$B$2:$O$102,14,FALSE)</f>
        <v>112</v>
      </c>
    </row>
    <row r="420" spans="1:16" ht="12" customHeight="1" x14ac:dyDescent="0.3"/>
    <row r="421" spans="1:16" ht="12" customHeight="1" x14ac:dyDescent="0.3"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6" ht="15" customHeight="1" x14ac:dyDescent="0.3">
      <c r="A422" s="7" t="str">
        <f>"Table K-1. (September 30, "&amp;'[1]Raw Data'!$A$2&amp;"—Continued)"</f>
        <v>Table K-1. (September 30, 2022—Continued)</v>
      </c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6" ht="12" customHeight="1" x14ac:dyDescent="0.3"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6" ht="15" customHeight="1" x14ac:dyDescent="0.3">
      <c r="A424" s="11" t="s">
        <v>12</v>
      </c>
      <c r="B424" s="11"/>
      <c r="C424" s="11"/>
      <c r="D424" s="12"/>
      <c r="E424" s="10" t="s">
        <v>10</v>
      </c>
      <c r="F424" s="11"/>
      <c r="G424" s="12"/>
      <c r="H424" s="10" t="s">
        <v>11</v>
      </c>
      <c r="I424" s="11"/>
      <c r="J424" s="12"/>
      <c r="K424" s="10" t="s">
        <v>11</v>
      </c>
      <c r="L424" s="11"/>
      <c r="M424" s="12"/>
      <c r="N424" s="10" t="s">
        <v>10</v>
      </c>
      <c r="O424" s="11"/>
      <c r="P424" s="11"/>
    </row>
    <row r="425" spans="1:16" ht="13.5" customHeight="1" x14ac:dyDescent="0.3">
      <c r="A425" s="14" t="s">
        <v>9</v>
      </c>
      <c r="B425" s="14"/>
      <c r="C425" s="14"/>
      <c r="D425" s="15"/>
      <c r="E425" s="13" t="s">
        <v>8</v>
      </c>
      <c r="F425" s="14"/>
      <c r="G425" s="15"/>
      <c r="H425" s="13" t="s">
        <v>7</v>
      </c>
      <c r="I425" s="14"/>
      <c r="J425" s="15"/>
      <c r="K425" s="13" t="s">
        <v>6</v>
      </c>
      <c r="L425" s="14"/>
      <c r="M425" s="15"/>
      <c r="N425" s="13" t="s">
        <v>5</v>
      </c>
      <c r="O425" s="14"/>
      <c r="P425" s="14"/>
    </row>
    <row r="426" spans="1:16" ht="3.7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3.5" customHeight="1" x14ac:dyDescent="0.3"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6" ht="13.5" customHeight="1" x14ac:dyDescent="0.3">
      <c r="A428" s="1"/>
      <c r="B428" s="1"/>
      <c r="C428" s="5" t="str">
        <f>IF(VLOOKUP("OH, N",'[1]Raw Data'!$B$2:$O$102,2,FALSE)="CDO","OH, N"&amp;" "&amp;CHAR(178),"OH, N")</f>
        <v>OH, N</v>
      </c>
      <c r="D428" s="1"/>
      <c r="F428" s="4">
        <f>SUM(F429:F431)</f>
        <v>559</v>
      </c>
      <c r="G428" s="4"/>
      <c r="H428" s="4"/>
      <c r="I428" s="4">
        <f>SUM(I429:I431)</f>
        <v>771</v>
      </c>
      <c r="J428" s="4"/>
      <c r="K428" s="4"/>
      <c r="L428" s="4">
        <f>SUM(L429:L431)</f>
        <v>827</v>
      </c>
      <c r="M428" s="4"/>
      <c r="N428" s="4"/>
      <c r="O428" s="4">
        <f>SUM(O429:O431)</f>
        <v>503</v>
      </c>
    </row>
    <row r="429" spans="1:16" ht="13.5" customHeight="1" x14ac:dyDescent="0.3">
      <c r="A429" s="1"/>
      <c r="B429" s="1" t="s">
        <v>4</v>
      </c>
      <c r="C429" s="1"/>
      <c r="D429" s="1"/>
      <c r="E429" s="1"/>
      <c r="F429" s="3">
        <f>VLOOKUP("OH, N",'[1]Raw Data'!$B$2:$O$102,3,FALSE)</f>
        <v>282</v>
      </c>
      <c r="G429" s="3"/>
      <c r="H429" s="3"/>
      <c r="I429" s="3">
        <f>VLOOKUP("OH, N",'[1]Raw Data'!$B$2:$O$102,4,FALSE)</f>
        <v>297</v>
      </c>
      <c r="J429" s="3"/>
      <c r="K429" s="3"/>
      <c r="L429" s="3">
        <f>VLOOKUP("OH, N",'[1]Raw Data'!$B$2:$O$102,5,FALSE)</f>
        <v>354</v>
      </c>
      <c r="M429" s="3"/>
      <c r="N429" s="3"/>
      <c r="O429" s="3">
        <f>VLOOKUP("OH, N",'[1]Raw Data'!$B$2:$O$102,6,FALSE)</f>
        <v>225</v>
      </c>
    </row>
    <row r="430" spans="1:16" ht="13.5" customHeight="1" x14ac:dyDescent="0.3">
      <c r="A430" s="1"/>
      <c r="B430" s="1" t="s">
        <v>3</v>
      </c>
      <c r="C430" s="1"/>
      <c r="D430" s="1"/>
      <c r="E430" s="1"/>
      <c r="F430" s="3">
        <f>VLOOKUP("OH, N",'[1]Raw Data'!$B$2:$O$102,7,FALSE)</f>
        <v>38</v>
      </c>
      <c r="G430" s="3"/>
      <c r="H430" s="3"/>
      <c r="I430" s="3">
        <f>VLOOKUP("OH, N",'[1]Raw Data'!$B$2:$O$102,8,FALSE)</f>
        <v>57</v>
      </c>
      <c r="J430" s="3"/>
      <c r="K430" s="3"/>
      <c r="L430" s="3">
        <f>VLOOKUP("OH, N",'[1]Raw Data'!$B$2:$O$102,9,FALSE)</f>
        <v>53</v>
      </c>
      <c r="M430" s="3"/>
      <c r="N430" s="3"/>
      <c r="O430" s="3">
        <f>VLOOKUP("OH, N",'[1]Raw Data'!$B$2:$O$102,10,FALSE)</f>
        <v>42</v>
      </c>
    </row>
    <row r="431" spans="1:16" ht="13.5" customHeight="1" x14ac:dyDescent="0.3">
      <c r="A431" s="1"/>
      <c r="B431" s="1" t="s">
        <v>2</v>
      </c>
      <c r="C431" s="1"/>
      <c r="D431" s="1"/>
      <c r="E431" s="1"/>
      <c r="F431" s="3">
        <f>VLOOKUP("OH, N",'[1]Raw Data'!$B$2:$O$102,11,FALSE)</f>
        <v>239</v>
      </c>
      <c r="G431" s="3"/>
      <c r="H431" s="3"/>
      <c r="I431" s="3">
        <f>VLOOKUP("OH, N",'[1]Raw Data'!$B$2:$O$102,12,FALSE)</f>
        <v>417</v>
      </c>
      <c r="J431" s="3"/>
      <c r="K431" s="3"/>
      <c r="L431" s="3">
        <f>VLOOKUP("OH, N",'[1]Raw Data'!$B$2:$O$102,13,FALSE)</f>
        <v>420</v>
      </c>
      <c r="M431" s="3"/>
      <c r="N431" s="3"/>
      <c r="O431" s="3">
        <f>VLOOKUP("OH, N",'[1]Raw Data'!$B$2:$O$102,14,FALSE)</f>
        <v>236</v>
      </c>
    </row>
    <row r="432" spans="1:16" ht="12" customHeight="1" x14ac:dyDescent="0.3"/>
    <row r="433" spans="1:15" ht="13.5" customHeight="1" x14ac:dyDescent="0.3">
      <c r="A433" s="1"/>
      <c r="B433" s="1"/>
      <c r="C433" s="5" t="str">
        <f>IF(VLOOKUP("OH, S",'[1]Raw Data'!$B$2:$O$102,2,FALSE)="CDO","OH, S"&amp;" "&amp;CHAR(178),"OH, S")</f>
        <v>OH, S</v>
      </c>
      <c r="D433" s="1"/>
      <c r="F433" s="4">
        <f>SUM(F434:F436)</f>
        <v>580</v>
      </c>
      <c r="G433" s="4"/>
      <c r="H433" s="4"/>
      <c r="I433" s="4">
        <f>SUM(I434:I436)</f>
        <v>607</v>
      </c>
      <c r="J433" s="4"/>
      <c r="K433" s="4"/>
      <c r="L433" s="4">
        <f>SUM(L434:L436)</f>
        <v>555</v>
      </c>
      <c r="M433" s="4"/>
      <c r="N433" s="4"/>
      <c r="O433" s="4">
        <f>SUM(O434:O436)</f>
        <v>633</v>
      </c>
    </row>
    <row r="434" spans="1:15" ht="13.5" customHeight="1" x14ac:dyDescent="0.3">
      <c r="A434" s="1"/>
      <c r="B434" s="1" t="s">
        <v>4</v>
      </c>
      <c r="C434" s="1"/>
      <c r="D434" s="1"/>
      <c r="E434" s="1"/>
      <c r="F434" s="3">
        <f>VLOOKUP("OH, S",'[1]Raw Data'!$B$2:$O$102,3,FALSE)</f>
        <v>300</v>
      </c>
      <c r="G434" s="3"/>
      <c r="H434" s="3"/>
      <c r="I434" s="3">
        <f>VLOOKUP("OH, S",'[1]Raw Data'!$B$2:$O$102,4,FALSE)</f>
        <v>355</v>
      </c>
      <c r="J434" s="3"/>
      <c r="K434" s="3"/>
      <c r="L434" s="3">
        <f>VLOOKUP("OH, S",'[1]Raw Data'!$B$2:$O$102,5,FALSE)</f>
        <v>320</v>
      </c>
      <c r="M434" s="3"/>
      <c r="N434" s="3"/>
      <c r="O434" s="3">
        <f>VLOOKUP("OH, S",'[1]Raw Data'!$B$2:$O$102,6,FALSE)</f>
        <v>335</v>
      </c>
    </row>
    <row r="435" spans="1:15" ht="13.5" customHeight="1" x14ac:dyDescent="0.3">
      <c r="A435" s="1"/>
      <c r="B435" s="1" t="s">
        <v>3</v>
      </c>
      <c r="C435" s="1"/>
      <c r="D435" s="1"/>
      <c r="E435" s="1"/>
      <c r="F435" s="3">
        <f>VLOOKUP("OH, S",'[1]Raw Data'!$B$2:$O$102,7,FALSE)</f>
        <v>25</v>
      </c>
      <c r="G435" s="3"/>
      <c r="H435" s="3"/>
      <c r="I435" s="3">
        <f>VLOOKUP("OH, S",'[1]Raw Data'!$B$2:$O$102,8,FALSE)</f>
        <v>54</v>
      </c>
      <c r="J435" s="3"/>
      <c r="K435" s="3"/>
      <c r="L435" s="3">
        <f>VLOOKUP("OH, S",'[1]Raw Data'!$B$2:$O$102,9,FALSE)</f>
        <v>48</v>
      </c>
      <c r="M435" s="3"/>
      <c r="N435" s="3"/>
      <c r="O435" s="3">
        <f>VLOOKUP("OH, S",'[1]Raw Data'!$B$2:$O$102,10,FALSE)</f>
        <v>32</v>
      </c>
    </row>
    <row r="436" spans="1:15" ht="13.5" customHeight="1" x14ac:dyDescent="0.3">
      <c r="A436" s="1"/>
      <c r="B436" s="1" t="s">
        <v>2</v>
      </c>
      <c r="C436" s="1"/>
      <c r="D436" s="1"/>
      <c r="E436" s="1"/>
      <c r="F436" s="3">
        <f>VLOOKUP("OH, S",'[1]Raw Data'!$B$2:$O$102,11,FALSE)</f>
        <v>255</v>
      </c>
      <c r="G436" s="3"/>
      <c r="H436" s="3"/>
      <c r="I436" s="3">
        <f>VLOOKUP("OH, S",'[1]Raw Data'!$B$2:$O$102,12,FALSE)</f>
        <v>198</v>
      </c>
      <c r="J436" s="3"/>
      <c r="K436" s="3"/>
      <c r="L436" s="3">
        <f>VLOOKUP("OH, S",'[1]Raw Data'!$B$2:$O$102,13,FALSE)</f>
        <v>187</v>
      </c>
      <c r="M436" s="3"/>
      <c r="N436" s="3"/>
      <c r="O436" s="3">
        <f>VLOOKUP("OH, S",'[1]Raw Data'!$B$2:$O$102,14,FALSE)</f>
        <v>266</v>
      </c>
    </row>
    <row r="437" spans="1:15" ht="12" customHeight="1" x14ac:dyDescent="0.3"/>
    <row r="438" spans="1:15" ht="13.5" customHeight="1" x14ac:dyDescent="0.3">
      <c r="A438" s="1"/>
      <c r="B438" s="1"/>
      <c r="C438" s="5" t="str">
        <f>IF(VLOOKUP("TOT: OK, E/N",'[1]Raw Data'!$B$2:$O$102,2,FALSE)="CDO","TOT: OK, E/N"&amp;" "&amp;CHAR(178),"TOT: OK, E/N")</f>
        <v>TOT: OK, E/N</v>
      </c>
      <c r="D438" s="1"/>
      <c r="F438" s="4">
        <f>IF(SUM(F439:F441)-SUM(F443,F448)=0,SUM(F439:F441),"ERROR")</f>
        <v>192</v>
      </c>
      <c r="G438" s="4"/>
      <c r="H438" s="4"/>
      <c r="I438" s="4">
        <f>IF(SUM(I439:I441)-SUM(I443,I448)=0,SUM(I439:I441),"ERROR")</f>
        <v>286</v>
      </c>
      <c r="J438" s="4"/>
      <c r="K438" s="4"/>
      <c r="L438" s="4">
        <f>IF(SUM(L439:L441)-SUM(L443,L448)=0,SUM(L439:L441),"ERROR")</f>
        <v>234</v>
      </c>
      <c r="M438" s="4"/>
      <c r="N438" s="4"/>
      <c r="O438" s="4">
        <f>IF(SUM(O439:O441)-SUM(O443,O448)=0,SUM(O439:O441),"ERROR")</f>
        <v>244</v>
      </c>
    </row>
    <row r="439" spans="1:15" ht="13.5" customHeight="1" x14ac:dyDescent="0.3">
      <c r="A439" s="1"/>
      <c r="B439" s="1" t="s">
        <v>4</v>
      </c>
      <c r="C439" s="1"/>
      <c r="D439" s="1"/>
      <c r="E439" s="1"/>
      <c r="F439" s="3">
        <f>VLOOKUP("TOT: OK, E/N",'[1]Raw Data'!$B$2:$O$102,3,FALSE)</f>
        <v>135</v>
      </c>
      <c r="G439" s="3"/>
      <c r="H439" s="3"/>
      <c r="I439" s="3">
        <f>VLOOKUP("TOT: OK, E/N",'[1]Raw Data'!$B$2:$O$102,4,FALSE)</f>
        <v>228</v>
      </c>
      <c r="J439" s="3"/>
      <c r="K439" s="3"/>
      <c r="L439" s="3">
        <f>VLOOKUP("TOT: OK, E/N",'[1]Raw Data'!$B$2:$O$102,5,FALSE)</f>
        <v>168</v>
      </c>
      <c r="M439" s="3"/>
      <c r="N439" s="3"/>
      <c r="O439" s="3">
        <f>VLOOKUP("TOT: OK, E/N",'[1]Raw Data'!$B$2:$O$102,6,FALSE)</f>
        <v>195</v>
      </c>
    </row>
    <row r="440" spans="1:15" ht="13.5" customHeight="1" x14ac:dyDescent="0.3">
      <c r="A440" s="1"/>
      <c r="B440" s="1" t="s">
        <v>3</v>
      </c>
      <c r="C440" s="1"/>
      <c r="D440" s="1"/>
      <c r="E440" s="1"/>
      <c r="F440" s="3">
        <f>VLOOKUP("TOT: OK, E/N",'[1]Raw Data'!$B$2:$O$102,7,FALSE)</f>
        <v>13</v>
      </c>
      <c r="G440" s="3"/>
      <c r="H440" s="3"/>
      <c r="I440" s="3">
        <f>VLOOKUP("TOT: OK, E/N",'[1]Raw Data'!$B$2:$O$102,8,FALSE)</f>
        <v>11</v>
      </c>
      <c r="J440" s="3"/>
      <c r="K440" s="3"/>
      <c r="L440" s="3">
        <f>VLOOKUP("TOT: OK, E/N",'[1]Raw Data'!$B$2:$O$102,9,FALSE)</f>
        <v>11</v>
      </c>
      <c r="M440" s="3"/>
      <c r="N440" s="3"/>
      <c r="O440" s="3">
        <f>VLOOKUP("TOT: OK, E/N",'[1]Raw Data'!$B$2:$O$102,10,FALSE)</f>
        <v>13</v>
      </c>
    </row>
    <row r="441" spans="1:15" ht="13.5" customHeight="1" x14ac:dyDescent="0.3">
      <c r="A441" s="1"/>
      <c r="B441" s="1" t="s">
        <v>2</v>
      </c>
      <c r="C441" s="1"/>
      <c r="D441" s="1"/>
      <c r="E441" s="1"/>
      <c r="F441" s="3">
        <f>VLOOKUP("TOT: OK, E/N",'[1]Raw Data'!$B$2:$O$102,11,FALSE)</f>
        <v>44</v>
      </c>
      <c r="G441" s="3"/>
      <c r="H441" s="3"/>
      <c r="I441" s="3">
        <f>VLOOKUP("TOT: OK, E/N",'[1]Raw Data'!$B$2:$O$102,12,FALSE)</f>
        <v>47</v>
      </c>
      <c r="J441" s="3"/>
      <c r="K441" s="3"/>
      <c r="L441" s="3">
        <f>VLOOKUP("TOT: OK, E/N",'[1]Raw Data'!$B$2:$O$102,13,FALSE)</f>
        <v>55</v>
      </c>
      <c r="M441" s="3"/>
      <c r="N441" s="3"/>
      <c r="O441" s="3">
        <f>VLOOKUP("TOT: OK, E/N",'[1]Raw Data'!$B$2:$O$102,14,FALSE)</f>
        <v>36</v>
      </c>
    </row>
    <row r="442" spans="1:15" ht="12" customHeight="1" x14ac:dyDescent="0.3"/>
    <row r="443" spans="1:15" ht="13.5" customHeight="1" x14ac:dyDescent="0.3">
      <c r="A443" s="1"/>
      <c r="B443" s="1"/>
      <c r="C443" s="5" t="str">
        <f>IF(VLOOKUP("   OK, E",'[1]Raw Data'!$B$2:$O$102,2,FALSE)="CDO","OK, E"&amp;" "&amp;CHAR(178),"OK, E")</f>
        <v>OK, E</v>
      </c>
      <c r="D443" s="1"/>
      <c r="F443" s="4">
        <f>SUM(F444:F446)</f>
        <v>62</v>
      </c>
      <c r="G443" s="4"/>
      <c r="H443" s="4"/>
      <c r="I443" s="4">
        <f>SUM(I444:I446)</f>
        <v>113</v>
      </c>
      <c r="J443" s="4"/>
      <c r="K443" s="4"/>
      <c r="L443" s="4">
        <f>SUM(L444:L446)</f>
        <v>68</v>
      </c>
      <c r="M443" s="4"/>
      <c r="N443" s="4"/>
      <c r="O443" s="4">
        <f>SUM(O444:O446)</f>
        <v>107</v>
      </c>
    </row>
    <row r="444" spans="1:15" ht="13.5" customHeight="1" x14ac:dyDescent="0.3">
      <c r="A444" s="1"/>
      <c r="B444" s="1" t="s">
        <v>4</v>
      </c>
      <c r="C444" s="1"/>
      <c r="D444" s="1"/>
      <c r="E444" s="1"/>
      <c r="F444" s="3">
        <f>VLOOKUP("   OK, E",'[1]Raw Data'!$B$2:$O$102,3,FALSE)</f>
        <v>48</v>
      </c>
      <c r="G444" s="3"/>
      <c r="H444" s="3"/>
      <c r="I444" s="3">
        <f>VLOOKUP("   OK, E",'[1]Raw Data'!$B$2:$O$102,4,FALSE)</f>
        <v>90</v>
      </c>
      <c r="J444" s="3"/>
      <c r="K444" s="3"/>
      <c r="L444" s="3">
        <f>VLOOKUP("   OK, E",'[1]Raw Data'!$B$2:$O$102,5,FALSE)</f>
        <v>45</v>
      </c>
      <c r="M444" s="3"/>
      <c r="N444" s="3"/>
      <c r="O444" s="3">
        <f>VLOOKUP("   OK, E",'[1]Raw Data'!$B$2:$O$102,6,FALSE)</f>
        <v>93</v>
      </c>
    </row>
    <row r="445" spans="1:15" ht="13.5" customHeight="1" x14ac:dyDescent="0.3">
      <c r="A445" s="1"/>
      <c r="B445" s="1" t="s">
        <v>3</v>
      </c>
      <c r="C445" s="1"/>
      <c r="D445" s="1"/>
      <c r="E445" s="1"/>
      <c r="F445" s="3">
        <f>VLOOKUP("   OK, E",'[1]Raw Data'!$B$2:$O$102,7,FALSE)</f>
        <v>4</v>
      </c>
      <c r="G445" s="3"/>
      <c r="H445" s="3"/>
      <c r="I445" s="3">
        <f>VLOOKUP("   OK, E",'[1]Raw Data'!$B$2:$O$102,8,FALSE)</f>
        <v>6</v>
      </c>
      <c r="J445" s="3"/>
      <c r="K445" s="3"/>
      <c r="L445" s="3">
        <f>VLOOKUP("   OK, E",'[1]Raw Data'!$B$2:$O$102,9,FALSE)</f>
        <v>3</v>
      </c>
      <c r="M445" s="3"/>
      <c r="N445" s="3"/>
      <c r="O445" s="3">
        <f>VLOOKUP("   OK, E",'[1]Raw Data'!$B$2:$O$102,10,FALSE)</f>
        <v>7</v>
      </c>
    </row>
    <row r="446" spans="1:15" ht="13.5" customHeight="1" x14ac:dyDescent="0.3">
      <c r="A446" s="1"/>
      <c r="B446" s="1" t="s">
        <v>2</v>
      </c>
      <c r="C446" s="1"/>
      <c r="D446" s="1"/>
      <c r="E446" s="1"/>
      <c r="F446" s="3">
        <f>VLOOKUP("   OK, E",'[1]Raw Data'!$B$2:$O$102,11,FALSE)</f>
        <v>10</v>
      </c>
      <c r="G446" s="3"/>
      <c r="H446" s="3"/>
      <c r="I446" s="3">
        <f>VLOOKUP("   OK, E",'[1]Raw Data'!$B$2:$O$102,12,FALSE)</f>
        <v>17</v>
      </c>
      <c r="J446" s="3"/>
      <c r="K446" s="3"/>
      <c r="L446" s="3">
        <f>VLOOKUP("   OK, E",'[1]Raw Data'!$B$2:$O$102,13,FALSE)</f>
        <v>20</v>
      </c>
      <c r="M446" s="3"/>
      <c r="N446" s="3"/>
      <c r="O446" s="3">
        <f>VLOOKUP("   OK, E",'[1]Raw Data'!$B$2:$O$102,14,FALSE)</f>
        <v>7</v>
      </c>
    </row>
    <row r="447" spans="1:15" ht="12" customHeight="1" x14ac:dyDescent="0.3"/>
    <row r="448" spans="1:15" ht="13.5" customHeight="1" x14ac:dyDescent="0.3">
      <c r="A448" s="1"/>
      <c r="B448" s="1"/>
      <c r="C448" s="5" t="str">
        <f>IF(VLOOKUP("   OK, N",'[1]Raw Data'!$B$2:$O$102,2,FALSE)="CDO","OK, N"&amp;" "&amp;CHAR(178),"OK, N")</f>
        <v>OK, N</v>
      </c>
      <c r="D448" s="1"/>
      <c r="F448" s="4">
        <f>SUM(F449:F451)</f>
        <v>130</v>
      </c>
      <c r="G448" s="4"/>
      <c r="H448" s="4"/>
      <c r="I448" s="4">
        <f>SUM(I449:I451)</f>
        <v>173</v>
      </c>
      <c r="J448" s="4"/>
      <c r="K448" s="4"/>
      <c r="L448" s="4">
        <f>SUM(L449:L451)</f>
        <v>166</v>
      </c>
      <c r="M448" s="4"/>
      <c r="N448" s="4"/>
      <c r="O448" s="4">
        <f>SUM(O449:O451)</f>
        <v>137</v>
      </c>
    </row>
    <row r="449" spans="1:15" ht="13.5" customHeight="1" x14ac:dyDescent="0.3">
      <c r="A449" s="1"/>
      <c r="B449" s="1" t="s">
        <v>4</v>
      </c>
      <c r="C449" s="1"/>
      <c r="D449" s="1"/>
      <c r="E449" s="1"/>
      <c r="F449" s="3">
        <f>VLOOKUP("   OK, N",'[1]Raw Data'!$B$2:$O$102,3,FALSE)</f>
        <v>87</v>
      </c>
      <c r="G449" s="3"/>
      <c r="H449" s="3"/>
      <c r="I449" s="3">
        <f>VLOOKUP("   OK, N",'[1]Raw Data'!$B$2:$O$102,4,FALSE)</f>
        <v>138</v>
      </c>
      <c r="J449" s="3"/>
      <c r="K449" s="3"/>
      <c r="L449" s="3">
        <f>VLOOKUP("   OK, N",'[1]Raw Data'!$B$2:$O$102,5,FALSE)</f>
        <v>123</v>
      </c>
      <c r="M449" s="3"/>
      <c r="N449" s="3"/>
      <c r="O449" s="3">
        <f>VLOOKUP("   OK, N",'[1]Raw Data'!$B$2:$O$102,6,FALSE)</f>
        <v>102</v>
      </c>
    </row>
    <row r="450" spans="1:15" ht="13.5" customHeight="1" x14ac:dyDescent="0.3">
      <c r="A450" s="1"/>
      <c r="B450" s="1" t="s">
        <v>3</v>
      </c>
      <c r="C450" s="1"/>
      <c r="D450" s="1"/>
      <c r="E450" s="1"/>
      <c r="F450" s="3">
        <f>VLOOKUP("   OK, N",'[1]Raw Data'!$B$2:$O$102,7,FALSE)</f>
        <v>9</v>
      </c>
      <c r="G450" s="3"/>
      <c r="H450" s="3"/>
      <c r="I450" s="3">
        <f>VLOOKUP("   OK, N",'[1]Raw Data'!$B$2:$O$102,8,FALSE)</f>
        <v>5</v>
      </c>
      <c r="J450" s="3"/>
      <c r="K450" s="3"/>
      <c r="L450" s="3">
        <f>VLOOKUP("   OK, N",'[1]Raw Data'!$B$2:$O$102,9,FALSE)</f>
        <v>8</v>
      </c>
      <c r="M450" s="3"/>
      <c r="N450" s="3"/>
      <c r="O450" s="3">
        <f>VLOOKUP("   OK, N",'[1]Raw Data'!$B$2:$O$102,10,FALSE)</f>
        <v>6</v>
      </c>
    </row>
    <row r="451" spans="1:15" ht="13.5" customHeight="1" x14ac:dyDescent="0.3">
      <c r="A451" s="1"/>
      <c r="B451" s="1" t="s">
        <v>2</v>
      </c>
      <c r="C451" s="1"/>
      <c r="D451" s="1"/>
      <c r="E451" s="1"/>
      <c r="F451" s="3">
        <f>VLOOKUP("   OK, N",'[1]Raw Data'!$B$2:$O$102,11,FALSE)</f>
        <v>34</v>
      </c>
      <c r="G451" s="3"/>
      <c r="H451" s="3"/>
      <c r="I451" s="3">
        <f>VLOOKUP("   OK, N",'[1]Raw Data'!$B$2:$O$102,12,FALSE)</f>
        <v>30</v>
      </c>
      <c r="J451" s="3"/>
      <c r="K451" s="3"/>
      <c r="L451" s="3">
        <f>VLOOKUP("   OK, N",'[1]Raw Data'!$B$2:$O$102,13,FALSE)</f>
        <v>35</v>
      </c>
      <c r="M451" s="3"/>
      <c r="N451" s="3"/>
      <c r="O451" s="3">
        <f>VLOOKUP("   OK, N",'[1]Raw Data'!$B$2:$O$102,14,FALSE)</f>
        <v>29</v>
      </c>
    </row>
    <row r="452" spans="1:15" ht="12" customHeight="1" x14ac:dyDescent="0.3"/>
    <row r="453" spans="1:15" ht="13.5" customHeight="1" x14ac:dyDescent="0.3">
      <c r="A453" s="1"/>
      <c r="B453" s="1"/>
      <c r="C453" s="5" t="str">
        <f>IF(VLOOKUP("OK, W",'[1]Raw Data'!$B$2:$O$102,2,FALSE)="CDO","OK, W"&amp;" "&amp;CHAR(178),"OK, W")</f>
        <v>OK, W</v>
      </c>
      <c r="D453" s="1"/>
      <c r="F453" s="4">
        <f>SUM(F454:F456)</f>
        <v>378</v>
      </c>
      <c r="G453" s="4"/>
      <c r="H453" s="4"/>
      <c r="I453" s="4">
        <f>SUM(I454:I456)</f>
        <v>455</v>
      </c>
      <c r="J453" s="4"/>
      <c r="K453" s="4"/>
      <c r="L453" s="4">
        <f>SUM(L454:L456)</f>
        <v>455</v>
      </c>
      <c r="M453" s="4"/>
      <c r="N453" s="4"/>
      <c r="O453" s="4">
        <f>SUM(O454:O456)</f>
        <v>378</v>
      </c>
    </row>
    <row r="454" spans="1:15" ht="13.5" customHeight="1" x14ac:dyDescent="0.3">
      <c r="A454" s="1"/>
      <c r="B454" s="1" t="s">
        <v>4</v>
      </c>
      <c r="C454" s="1"/>
      <c r="D454" s="1"/>
      <c r="E454" s="1"/>
      <c r="F454" s="3">
        <f>VLOOKUP("OK, W",'[1]Raw Data'!$B$2:$O$102,3,FALSE)</f>
        <v>191</v>
      </c>
      <c r="G454" s="3"/>
      <c r="H454" s="3"/>
      <c r="I454" s="3">
        <f>VLOOKUP("OK, W",'[1]Raw Data'!$B$2:$O$102,4,FALSE)</f>
        <v>282</v>
      </c>
      <c r="J454" s="3"/>
      <c r="K454" s="3"/>
      <c r="L454" s="3">
        <f>VLOOKUP("OK, W",'[1]Raw Data'!$B$2:$O$102,5,FALSE)</f>
        <v>250</v>
      </c>
      <c r="M454" s="3"/>
      <c r="N454" s="3"/>
      <c r="O454" s="3">
        <f>VLOOKUP("OK, W",'[1]Raw Data'!$B$2:$O$102,6,FALSE)</f>
        <v>223</v>
      </c>
    </row>
    <row r="455" spans="1:15" ht="13.5" customHeight="1" x14ac:dyDescent="0.3">
      <c r="A455" s="1"/>
      <c r="B455" s="1" t="s">
        <v>3</v>
      </c>
      <c r="C455" s="1"/>
      <c r="D455" s="1"/>
      <c r="E455" s="1"/>
      <c r="F455" s="3">
        <f>VLOOKUP("OK, W",'[1]Raw Data'!$B$2:$O$102,7,FALSE)</f>
        <v>37</v>
      </c>
      <c r="G455" s="3"/>
      <c r="H455" s="3"/>
      <c r="I455" s="3">
        <f>VLOOKUP("OK, W",'[1]Raw Data'!$B$2:$O$102,8,FALSE)</f>
        <v>21</v>
      </c>
      <c r="J455" s="3"/>
      <c r="K455" s="3"/>
      <c r="L455" s="3">
        <f>VLOOKUP("OK, W",'[1]Raw Data'!$B$2:$O$102,9,FALSE)</f>
        <v>35</v>
      </c>
      <c r="M455" s="3"/>
      <c r="N455" s="3"/>
      <c r="O455" s="3">
        <f>VLOOKUP("OK, W",'[1]Raw Data'!$B$2:$O$102,10,FALSE)</f>
        <v>23</v>
      </c>
    </row>
    <row r="456" spans="1:15" ht="13.5" customHeight="1" x14ac:dyDescent="0.3">
      <c r="A456" s="1"/>
      <c r="B456" s="1" t="s">
        <v>2</v>
      </c>
      <c r="C456" s="1"/>
      <c r="D456" s="1"/>
      <c r="E456" s="1"/>
      <c r="F456" s="3">
        <f>VLOOKUP("OK, W",'[1]Raw Data'!$B$2:$O$102,11,FALSE)</f>
        <v>150</v>
      </c>
      <c r="G456" s="3"/>
      <c r="H456" s="3"/>
      <c r="I456" s="3">
        <f>VLOOKUP("OK, W",'[1]Raw Data'!$B$2:$O$102,12,FALSE)</f>
        <v>152</v>
      </c>
      <c r="J456" s="3"/>
      <c r="K456" s="3"/>
      <c r="L456" s="3">
        <f>VLOOKUP("OK, W",'[1]Raw Data'!$B$2:$O$102,13,FALSE)</f>
        <v>170</v>
      </c>
      <c r="M456" s="3"/>
      <c r="N456" s="3"/>
      <c r="O456" s="3">
        <f>VLOOKUP("OK, W",'[1]Raw Data'!$B$2:$O$102,14,FALSE)</f>
        <v>132</v>
      </c>
    </row>
    <row r="457" spans="1:15" ht="12" customHeight="1" x14ac:dyDescent="0.3"/>
    <row r="458" spans="1:15" ht="13.5" customHeight="1" x14ac:dyDescent="0.3">
      <c r="A458" s="1"/>
      <c r="B458" s="1"/>
      <c r="C458" s="5" t="str">
        <f>IF(VLOOKUP("OR",'[1]Raw Data'!$B$2:$O$102,2,FALSE)="CDO","OR"&amp;" "&amp;CHAR(178),"OR")</f>
        <v>OR</v>
      </c>
      <c r="D458" s="1"/>
      <c r="F458" s="4">
        <f>SUM(F459:F461)</f>
        <v>1971</v>
      </c>
      <c r="G458" s="4"/>
      <c r="H458" s="4"/>
      <c r="I458" s="4">
        <f>SUM(I459:I461)</f>
        <v>1471</v>
      </c>
      <c r="J458" s="4"/>
      <c r="K458" s="4"/>
      <c r="L458" s="4">
        <f>SUM(L459:L461)</f>
        <v>1825</v>
      </c>
      <c r="M458" s="4"/>
      <c r="N458" s="4"/>
      <c r="O458" s="4">
        <f>SUM(O459:O461)</f>
        <v>1617</v>
      </c>
    </row>
    <row r="459" spans="1:15" ht="13.5" customHeight="1" x14ac:dyDescent="0.3">
      <c r="A459" s="1"/>
      <c r="B459" s="1" t="s">
        <v>4</v>
      </c>
      <c r="C459" s="1"/>
      <c r="D459" s="1"/>
      <c r="E459" s="1"/>
      <c r="F459" s="3">
        <f>VLOOKUP("OR",'[1]Raw Data'!$B$2:$O$102,3,FALSE)</f>
        <v>843</v>
      </c>
      <c r="G459" s="3"/>
      <c r="H459" s="3"/>
      <c r="I459" s="3">
        <f>VLOOKUP("OR",'[1]Raw Data'!$B$2:$O$102,4,FALSE)</f>
        <v>429</v>
      </c>
      <c r="J459" s="3"/>
      <c r="K459" s="3"/>
      <c r="L459" s="3">
        <f>VLOOKUP("OR",'[1]Raw Data'!$B$2:$O$102,5,FALSE)</f>
        <v>738</v>
      </c>
      <c r="M459" s="3"/>
      <c r="N459" s="3"/>
      <c r="O459" s="3">
        <f>VLOOKUP("OR",'[1]Raw Data'!$B$2:$O$102,6,FALSE)</f>
        <v>534</v>
      </c>
    </row>
    <row r="460" spans="1:15" ht="13.5" customHeight="1" x14ac:dyDescent="0.3">
      <c r="A460" s="1"/>
      <c r="B460" s="1" t="s">
        <v>3</v>
      </c>
      <c r="C460" s="1"/>
      <c r="D460" s="1"/>
      <c r="E460" s="1"/>
      <c r="F460" s="3">
        <f>VLOOKUP("OR",'[1]Raw Data'!$B$2:$O$102,7,FALSE)</f>
        <v>89</v>
      </c>
      <c r="G460" s="3"/>
      <c r="H460" s="3"/>
      <c r="I460" s="3">
        <f>VLOOKUP("OR",'[1]Raw Data'!$B$2:$O$102,8,FALSE)</f>
        <v>65</v>
      </c>
      <c r="J460" s="3"/>
      <c r="K460" s="3"/>
      <c r="L460" s="3">
        <f>VLOOKUP("OR",'[1]Raw Data'!$B$2:$O$102,9,FALSE)</f>
        <v>63</v>
      </c>
      <c r="M460" s="3"/>
      <c r="N460" s="3"/>
      <c r="O460" s="3">
        <f>VLOOKUP("OR",'[1]Raw Data'!$B$2:$O$102,10,FALSE)</f>
        <v>91</v>
      </c>
    </row>
    <row r="461" spans="1:15" ht="13.5" customHeight="1" x14ac:dyDescent="0.3">
      <c r="A461" s="1"/>
      <c r="B461" s="1" t="s">
        <v>2</v>
      </c>
      <c r="C461" s="1"/>
      <c r="D461" s="1"/>
      <c r="E461" s="1"/>
      <c r="F461" s="3">
        <f>VLOOKUP("OR",'[1]Raw Data'!$B$2:$O$102,11,FALSE)</f>
        <v>1039</v>
      </c>
      <c r="G461" s="3"/>
      <c r="H461" s="3"/>
      <c r="I461" s="3">
        <f>VLOOKUP("OR",'[1]Raw Data'!$B$2:$O$102,12,FALSE)</f>
        <v>977</v>
      </c>
      <c r="J461" s="3"/>
      <c r="K461" s="3"/>
      <c r="L461" s="3">
        <f>VLOOKUP("OR",'[1]Raw Data'!$B$2:$O$102,13,FALSE)</f>
        <v>1024</v>
      </c>
      <c r="M461" s="3"/>
      <c r="N461" s="3"/>
      <c r="O461" s="3">
        <f>VLOOKUP("OR",'[1]Raw Data'!$B$2:$O$102,14,FALSE)</f>
        <v>992</v>
      </c>
    </row>
    <row r="462" spans="1:15" ht="12" customHeight="1" x14ac:dyDescent="0.3"/>
    <row r="463" spans="1:15" ht="12" customHeight="1" x14ac:dyDescent="0.3"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" customHeight="1" x14ac:dyDescent="0.3">
      <c r="A464" s="7" t="str">
        <f>"Table K-1. (September 30, "&amp;'[1]Raw Data'!$A$2&amp;"—Continued)"</f>
        <v>Table K-1. (September 30, 2022—Continued)</v>
      </c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6" ht="12" customHeight="1" x14ac:dyDescent="0.3"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6" ht="15" customHeight="1" x14ac:dyDescent="0.3">
      <c r="A466" s="11" t="s">
        <v>12</v>
      </c>
      <c r="B466" s="11"/>
      <c r="C466" s="11"/>
      <c r="D466" s="12"/>
      <c r="E466" s="10" t="s">
        <v>10</v>
      </c>
      <c r="F466" s="11"/>
      <c r="G466" s="12"/>
      <c r="H466" s="10" t="s">
        <v>11</v>
      </c>
      <c r="I466" s="11"/>
      <c r="J466" s="12"/>
      <c r="K466" s="10" t="s">
        <v>11</v>
      </c>
      <c r="L466" s="11"/>
      <c r="M466" s="12"/>
      <c r="N466" s="10" t="s">
        <v>10</v>
      </c>
      <c r="O466" s="11"/>
      <c r="P466" s="11"/>
    </row>
    <row r="467" spans="1:16" ht="13.5" customHeight="1" x14ac:dyDescent="0.3">
      <c r="A467" s="14" t="s">
        <v>9</v>
      </c>
      <c r="B467" s="14"/>
      <c r="C467" s="14"/>
      <c r="D467" s="15"/>
      <c r="E467" s="13" t="s">
        <v>8</v>
      </c>
      <c r="F467" s="14"/>
      <c r="G467" s="15"/>
      <c r="H467" s="13" t="s">
        <v>7</v>
      </c>
      <c r="I467" s="14"/>
      <c r="J467" s="15"/>
      <c r="K467" s="13" t="s">
        <v>6</v>
      </c>
      <c r="L467" s="14"/>
      <c r="M467" s="15"/>
      <c r="N467" s="13" t="s">
        <v>5</v>
      </c>
      <c r="O467" s="14"/>
      <c r="P467" s="14"/>
    </row>
    <row r="468" spans="1:16" ht="3.7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3.5" customHeight="1" x14ac:dyDescent="0.3"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6" ht="13.5" customHeight="1" x14ac:dyDescent="0.3">
      <c r="A470" s="1"/>
      <c r="B470" s="1"/>
      <c r="C470" s="5" t="str">
        <f>IF(VLOOKUP("PA, E",'[1]Raw Data'!$B$2:$O$102,2,FALSE)="CDO","PA, E"&amp;" "&amp;CHAR(178),"PA, E")</f>
        <v>PA, E ²</v>
      </c>
      <c r="D470" s="1"/>
      <c r="F470" s="4">
        <f>SUM(F471:F473)</f>
        <v>1242</v>
      </c>
      <c r="G470" s="4"/>
      <c r="H470" s="4"/>
      <c r="I470" s="4">
        <f>SUM(I471:I473)</f>
        <v>779</v>
      </c>
      <c r="J470" s="4"/>
      <c r="K470" s="4"/>
      <c r="L470" s="4">
        <f>SUM(L471:L473)</f>
        <v>932</v>
      </c>
      <c r="M470" s="4"/>
      <c r="N470" s="4"/>
      <c r="O470" s="4">
        <f>SUM(O471:O473)</f>
        <v>1089</v>
      </c>
    </row>
    <row r="471" spans="1:16" ht="13.5" customHeight="1" x14ac:dyDescent="0.3">
      <c r="A471" s="1"/>
      <c r="B471" s="1" t="s">
        <v>4</v>
      </c>
      <c r="C471" s="1"/>
      <c r="D471" s="1"/>
      <c r="E471" s="1"/>
      <c r="F471" s="3">
        <f>VLOOKUP("PA, E",'[1]Raw Data'!$B$2:$O$102,3,FALSE)</f>
        <v>339</v>
      </c>
      <c r="G471" s="3"/>
      <c r="H471" s="3"/>
      <c r="I471" s="3">
        <f>VLOOKUP("PA, E",'[1]Raw Data'!$B$2:$O$102,4,FALSE)</f>
        <v>240</v>
      </c>
      <c r="J471" s="3"/>
      <c r="K471" s="3"/>
      <c r="L471" s="3">
        <f>VLOOKUP("PA, E",'[1]Raw Data'!$B$2:$O$102,5,FALSE)</f>
        <v>280</v>
      </c>
      <c r="M471" s="3"/>
      <c r="N471" s="3"/>
      <c r="O471" s="3">
        <f>VLOOKUP("PA, E",'[1]Raw Data'!$B$2:$O$102,6,FALSE)</f>
        <v>299</v>
      </c>
    </row>
    <row r="472" spans="1:16" ht="13.5" customHeight="1" x14ac:dyDescent="0.3">
      <c r="A472" s="1"/>
      <c r="B472" s="1" t="s">
        <v>3</v>
      </c>
      <c r="C472" s="1"/>
      <c r="D472" s="1"/>
      <c r="E472" s="1"/>
      <c r="F472" s="3">
        <f>VLOOKUP("PA, E",'[1]Raw Data'!$B$2:$O$102,7,FALSE)</f>
        <v>397</v>
      </c>
      <c r="G472" s="3"/>
      <c r="H472" s="3"/>
      <c r="I472" s="3">
        <f>VLOOKUP("PA, E",'[1]Raw Data'!$B$2:$O$102,8,FALSE)</f>
        <v>94</v>
      </c>
      <c r="J472" s="3"/>
      <c r="K472" s="3"/>
      <c r="L472" s="3">
        <f>VLOOKUP("PA, E",'[1]Raw Data'!$B$2:$O$102,9,FALSE)</f>
        <v>128</v>
      </c>
      <c r="M472" s="3"/>
      <c r="N472" s="3"/>
      <c r="O472" s="3">
        <f>VLOOKUP("PA, E",'[1]Raw Data'!$B$2:$O$102,10,FALSE)</f>
        <v>363</v>
      </c>
    </row>
    <row r="473" spans="1:16" ht="13.5" customHeight="1" x14ac:dyDescent="0.3">
      <c r="A473" s="1"/>
      <c r="B473" s="1" t="s">
        <v>2</v>
      </c>
      <c r="C473" s="1"/>
      <c r="D473" s="1"/>
      <c r="E473" s="1"/>
      <c r="F473" s="3">
        <f>VLOOKUP("PA, E",'[1]Raw Data'!$B$2:$O$102,11,FALSE)</f>
        <v>506</v>
      </c>
      <c r="G473" s="3"/>
      <c r="H473" s="3"/>
      <c r="I473" s="3">
        <f>VLOOKUP("PA, E",'[1]Raw Data'!$B$2:$O$102,12,FALSE)</f>
        <v>445</v>
      </c>
      <c r="J473" s="3"/>
      <c r="K473" s="3"/>
      <c r="L473" s="3">
        <f>VLOOKUP("PA, E",'[1]Raw Data'!$B$2:$O$102,13,FALSE)</f>
        <v>524</v>
      </c>
      <c r="M473" s="3"/>
      <c r="N473" s="3"/>
      <c r="O473" s="3">
        <f>VLOOKUP("PA, E",'[1]Raw Data'!$B$2:$O$102,14,FALSE)</f>
        <v>427</v>
      </c>
    </row>
    <row r="474" spans="1:16" ht="12" customHeight="1" x14ac:dyDescent="0.3"/>
    <row r="475" spans="1:16" ht="13.5" customHeight="1" x14ac:dyDescent="0.3">
      <c r="A475" s="1"/>
      <c r="B475" s="1"/>
      <c r="C475" s="5" t="str">
        <f>IF(VLOOKUP("PA, M",'[1]Raw Data'!$B$2:$O$102,2,FALSE)="CDO","PA, M"&amp;" "&amp;CHAR(178),"PA, M")</f>
        <v>PA, M</v>
      </c>
      <c r="D475" s="1"/>
      <c r="F475" s="4">
        <f>SUM(F476:F478)</f>
        <v>527</v>
      </c>
      <c r="G475" s="4"/>
      <c r="H475" s="4"/>
      <c r="I475" s="4">
        <f>SUM(I476:I478)</f>
        <v>577</v>
      </c>
      <c r="J475" s="4"/>
      <c r="K475" s="4"/>
      <c r="L475" s="4">
        <f>SUM(L476:L478)</f>
        <v>595</v>
      </c>
      <c r="M475" s="4"/>
      <c r="N475" s="4"/>
      <c r="O475" s="4">
        <f>SUM(O476:O478)</f>
        <v>509</v>
      </c>
    </row>
    <row r="476" spans="1:16" ht="13.5" customHeight="1" x14ac:dyDescent="0.3">
      <c r="A476" s="1"/>
      <c r="B476" s="1" t="s">
        <v>4</v>
      </c>
      <c r="C476" s="1"/>
      <c r="D476" s="1"/>
      <c r="E476" s="1"/>
      <c r="F476" s="3">
        <f>VLOOKUP("PA, M",'[1]Raw Data'!$B$2:$O$102,3,FALSE)</f>
        <v>237</v>
      </c>
      <c r="G476" s="3"/>
      <c r="H476" s="3"/>
      <c r="I476" s="3">
        <f>VLOOKUP("PA, M",'[1]Raw Data'!$B$2:$O$102,4,FALSE)</f>
        <v>293</v>
      </c>
      <c r="J476" s="3"/>
      <c r="K476" s="3"/>
      <c r="L476" s="3">
        <f>VLOOKUP("PA, M",'[1]Raw Data'!$B$2:$O$102,5,FALSE)</f>
        <v>267</v>
      </c>
      <c r="M476" s="3"/>
      <c r="N476" s="3"/>
      <c r="O476" s="3">
        <f>VLOOKUP("PA, M",'[1]Raw Data'!$B$2:$O$102,6,FALSE)</f>
        <v>263</v>
      </c>
    </row>
    <row r="477" spans="1:16" ht="13.5" customHeight="1" x14ac:dyDescent="0.3">
      <c r="A477" s="1"/>
      <c r="B477" s="1" t="s">
        <v>3</v>
      </c>
      <c r="C477" s="1"/>
      <c r="D477" s="1"/>
      <c r="E477" s="1"/>
      <c r="F477" s="3">
        <f>VLOOKUP("PA, M",'[1]Raw Data'!$B$2:$O$102,7,FALSE)</f>
        <v>82</v>
      </c>
      <c r="G477" s="3"/>
      <c r="H477" s="3"/>
      <c r="I477" s="3">
        <f>VLOOKUP("PA, M",'[1]Raw Data'!$B$2:$O$102,8,FALSE)</f>
        <v>64</v>
      </c>
      <c r="J477" s="3"/>
      <c r="K477" s="3"/>
      <c r="L477" s="3">
        <f>VLOOKUP("PA, M",'[1]Raw Data'!$B$2:$O$102,9,FALSE)</f>
        <v>84</v>
      </c>
      <c r="M477" s="3"/>
      <c r="N477" s="3"/>
      <c r="O477" s="3">
        <f>VLOOKUP("PA, M",'[1]Raw Data'!$B$2:$O$102,10,FALSE)</f>
        <v>62</v>
      </c>
    </row>
    <row r="478" spans="1:16" ht="13.5" customHeight="1" x14ac:dyDescent="0.3">
      <c r="A478" s="1"/>
      <c r="B478" s="1" t="s">
        <v>2</v>
      </c>
      <c r="C478" s="1"/>
      <c r="D478" s="1"/>
      <c r="E478" s="1"/>
      <c r="F478" s="3">
        <f>VLOOKUP("PA, M",'[1]Raw Data'!$B$2:$O$102,11,FALSE)</f>
        <v>208</v>
      </c>
      <c r="G478" s="3"/>
      <c r="H478" s="3"/>
      <c r="I478" s="3">
        <f>VLOOKUP("PA, M",'[1]Raw Data'!$B$2:$O$102,12,FALSE)</f>
        <v>220</v>
      </c>
      <c r="J478" s="3"/>
      <c r="K478" s="3"/>
      <c r="L478" s="3">
        <f>VLOOKUP("PA, M",'[1]Raw Data'!$B$2:$O$102,13,FALSE)</f>
        <v>244</v>
      </c>
      <c r="M478" s="3"/>
      <c r="N478" s="3"/>
      <c r="O478" s="3">
        <f>VLOOKUP("PA, M",'[1]Raw Data'!$B$2:$O$102,14,FALSE)</f>
        <v>184</v>
      </c>
    </row>
    <row r="479" spans="1:16" ht="12" customHeight="1" x14ac:dyDescent="0.3"/>
    <row r="480" spans="1:16" ht="13.5" customHeight="1" x14ac:dyDescent="0.3">
      <c r="A480" s="1"/>
      <c r="B480" s="1"/>
      <c r="C480" s="5" t="str">
        <f>IF(VLOOKUP("PA, W",'[1]Raw Data'!$B$2:$O$102,2,FALSE)="CDO","PA, W"&amp;" "&amp;CHAR(178),"PA, W")</f>
        <v>PA, W</v>
      </c>
      <c r="D480" s="1"/>
      <c r="F480" s="4">
        <f>SUM(F481:F483)</f>
        <v>682</v>
      </c>
      <c r="G480" s="4"/>
      <c r="H480" s="4"/>
      <c r="I480" s="4">
        <f>SUM(I481:I483)</f>
        <v>467</v>
      </c>
      <c r="J480" s="4"/>
      <c r="K480" s="4"/>
      <c r="L480" s="4">
        <f>SUM(L481:L483)</f>
        <v>460</v>
      </c>
      <c r="M480" s="4"/>
      <c r="N480" s="4"/>
      <c r="O480" s="4">
        <f>SUM(O481:O483)</f>
        <v>690</v>
      </c>
    </row>
    <row r="481" spans="1:15" ht="13.5" customHeight="1" x14ac:dyDescent="0.3">
      <c r="A481" s="1"/>
      <c r="B481" s="1" t="s">
        <v>4</v>
      </c>
      <c r="C481" s="1"/>
      <c r="D481" s="1"/>
      <c r="E481" s="1"/>
      <c r="F481" s="3">
        <f>VLOOKUP("PA, W",'[1]Raw Data'!$B$2:$O$102,3,FALSE)</f>
        <v>378</v>
      </c>
      <c r="G481" s="3"/>
      <c r="H481" s="3"/>
      <c r="I481" s="3">
        <f>VLOOKUP("PA, W",'[1]Raw Data'!$B$2:$O$102,4,FALSE)</f>
        <v>293</v>
      </c>
      <c r="J481" s="3"/>
      <c r="K481" s="3"/>
      <c r="L481" s="3">
        <f>VLOOKUP("PA, W",'[1]Raw Data'!$B$2:$O$102,5,FALSE)</f>
        <v>238</v>
      </c>
      <c r="M481" s="3"/>
      <c r="N481" s="3"/>
      <c r="O481" s="3">
        <f>VLOOKUP("PA, W",'[1]Raw Data'!$B$2:$O$102,6,FALSE)</f>
        <v>433</v>
      </c>
    </row>
    <row r="482" spans="1:15" ht="13.5" customHeight="1" x14ac:dyDescent="0.3">
      <c r="A482" s="1"/>
      <c r="B482" s="1" t="s">
        <v>3</v>
      </c>
      <c r="C482" s="1"/>
      <c r="D482" s="1"/>
      <c r="E482" s="1"/>
      <c r="F482" s="3">
        <f>VLOOKUP("PA, W",'[1]Raw Data'!$B$2:$O$102,7,FALSE)</f>
        <v>49</v>
      </c>
      <c r="G482" s="3"/>
      <c r="H482" s="3"/>
      <c r="I482" s="3">
        <f>VLOOKUP("PA, W",'[1]Raw Data'!$B$2:$O$102,8,FALSE)</f>
        <v>48</v>
      </c>
      <c r="J482" s="3"/>
      <c r="K482" s="3"/>
      <c r="L482" s="3">
        <f>VLOOKUP("PA, W",'[1]Raw Data'!$B$2:$O$102,9,FALSE)</f>
        <v>51</v>
      </c>
      <c r="M482" s="3"/>
      <c r="N482" s="3"/>
      <c r="O482" s="3">
        <f>VLOOKUP("PA, W",'[1]Raw Data'!$B$2:$O$102,10,FALSE)</f>
        <v>46</v>
      </c>
    </row>
    <row r="483" spans="1:15" ht="13.5" customHeight="1" x14ac:dyDescent="0.3">
      <c r="A483" s="1"/>
      <c r="B483" s="1" t="s">
        <v>2</v>
      </c>
      <c r="C483" s="1"/>
      <c r="D483" s="1"/>
      <c r="E483" s="1"/>
      <c r="F483" s="3">
        <f>VLOOKUP("PA, W",'[1]Raw Data'!$B$2:$O$102,11,FALSE)</f>
        <v>255</v>
      </c>
      <c r="G483" s="3"/>
      <c r="H483" s="3"/>
      <c r="I483" s="3">
        <f>VLOOKUP("PA, W",'[1]Raw Data'!$B$2:$O$102,12,FALSE)</f>
        <v>126</v>
      </c>
      <c r="J483" s="3"/>
      <c r="K483" s="3"/>
      <c r="L483" s="3">
        <f>VLOOKUP("PA, W",'[1]Raw Data'!$B$2:$O$102,13,FALSE)</f>
        <v>171</v>
      </c>
      <c r="M483" s="3"/>
      <c r="N483" s="3"/>
      <c r="O483" s="3">
        <f>VLOOKUP("PA, W",'[1]Raw Data'!$B$2:$O$102,14,FALSE)</f>
        <v>211</v>
      </c>
    </row>
    <row r="484" spans="1:15" ht="12" customHeight="1" x14ac:dyDescent="0.3"/>
    <row r="485" spans="1:15" ht="13.5" customHeight="1" x14ac:dyDescent="0.3">
      <c r="A485" s="1"/>
      <c r="B485" s="1"/>
      <c r="C485" s="5" t="str">
        <f>IF(VLOOKUP("PR",'[1]Raw Data'!$B$2:$O$102,2,FALSE)="CDO","PR"&amp;" "&amp;CHAR(178),"PR")</f>
        <v>PR</v>
      </c>
      <c r="D485" s="1"/>
      <c r="F485" s="4">
        <f>SUM(F486:F488)</f>
        <v>767</v>
      </c>
      <c r="G485" s="4"/>
      <c r="H485" s="4"/>
      <c r="I485" s="4">
        <f>SUM(I486:I488)</f>
        <v>1298</v>
      </c>
      <c r="J485" s="4"/>
      <c r="K485" s="4"/>
      <c r="L485" s="4">
        <f>SUM(L486:L488)</f>
        <v>1253</v>
      </c>
      <c r="M485" s="4"/>
      <c r="N485" s="4"/>
      <c r="O485" s="4">
        <f>SUM(O486:O488)</f>
        <v>812</v>
      </c>
    </row>
    <row r="486" spans="1:15" ht="13.5" customHeight="1" x14ac:dyDescent="0.3">
      <c r="A486" s="1"/>
      <c r="B486" s="1" t="s">
        <v>4</v>
      </c>
      <c r="C486" s="1"/>
      <c r="D486" s="1"/>
      <c r="E486" s="1"/>
      <c r="F486" s="3">
        <f>VLOOKUP("PR",'[1]Raw Data'!$B$2:$O$102,3,FALSE)</f>
        <v>398</v>
      </c>
      <c r="G486" s="3"/>
      <c r="H486" s="3"/>
      <c r="I486" s="3">
        <f>VLOOKUP("PR",'[1]Raw Data'!$B$2:$O$102,4,FALSE)</f>
        <v>391</v>
      </c>
      <c r="J486" s="3"/>
      <c r="K486" s="3"/>
      <c r="L486" s="3">
        <f>VLOOKUP("PR",'[1]Raw Data'!$B$2:$O$102,5,FALSE)</f>
        <v>332</v>
      </c>
      <c r="M486" s="3"/>
      <c r="N486" s="3"/>
      <c r="O486" s="3">
        <f>VLOOKUP("PR",'[1]Raw Data'!$B$2:$O$102,6,FALSE)</f>
        <v>457</v>
      </c>
    </row>
    <row r="487" spans="1:15" ht="13.5" customHeight="1" x14ac:dyDescent="0.3">
      <c r="A487" s="1"/>
      <c r="B487" s="1" t="s">
        <v>3</v>
      </c>
      <c r="C487" s="1"/>
      <c r="D487" s="1"/>
      <c r="E487" s="1"/>
      <c r="F487" s="3">
        <f>VLOOKUP("PR",'[1]Raw Data'!$B$2:$O$102,7,FALSE)</f>
        <v>67</v>
      </c>
      <c r="G487" s="3"/>
      <c r="H487" s="3"/>
      <c r="I487" s="3">
        <f>VLOOKUP("PR",'[1]Raw Data'!$B$2:$O$102,8,FALSE)</f>
        <v>92</v>
      </c>
      <c r="J487" s="3"/>
      <c r="K487" s="3"/>
      <c r="L487" s="3">
        <f>VLOOKUP("PR",'[1]Raw Data'!$B$2:$O$102,9,FALSE)</f>
        <v>87</v>
      </c>
      <c r="M487" s="3"/>
      <c r="N487" s="3"/>
      <c r="O487" s="3">
        <f>VLOOKUP("PR",'[1]Raw Data'!$B$2:$O$102,10,FALSE)</f>
        <v>72</v>
      </c>
    </row>
    <row r="488" spans="1:15" ht="13.5" customHeight="1" x14ac:dyDescent="0.3">
      <c r="A488" s="1"/>
      <c r="B488" s="1" t="s">
        <v>2</v>
      </c>
      <c r="C488" s="1"/>
      <c r="D488" s="1"/>
      <c r="E488" s="1"/>
      <c r="F488" s="3">
        <f>VLOOKUP("PR",'[1]Raw Data'!$B$2:$O$102,11,FALSE)</f>
        <v>302</v>
      </c>
      <c r="G488" s="3"/>
      <c r="H488" s="3"/>
      <c r="I488" s="3">
        <f>VLOOKUP("PR",'[1]Raw Data'!$B$2:$O$102,12,FALSE)</f>
        <v>815</v>
      </c>
      <c r="J488" s="3"/>
      <c r="K488" s="3"/>
      <c r="L488" s="3">
        <f>VLOOKUP("PR",'[1]Raw Data'!$B$2:$O$102,13,FALSE)</f>
        <v>834</v>
      </c>
      <c r="M488" s="3"/>
      <c r="N488" s="3"/>
      <c r="O488" s="3">
        <f>VLOOKUP("PR",'[1]Raw Data'!$B$2:$O$102,14,FALSE)</f>
        <v>283</v>
      </c>
    </row>
    <row r="489" spans="1:15" ht="12" customHeight="1" x14ac:dyDescent="0.3"/>
    <row r="490" spans="1:15" ht="13.5" customHeight="1" x14ac:dyDescent="0.3">
      <c r="A490" s="1"/>
      <c r="B490" s="1"/>
      <c r="C490" s="5" t="str">
        <f>IF(VLOOKUP("SC",'[1]Raw Data'!$B$2:$O$102,2,FALSE)="CDO","SC"&amp;" "&amp;CHAR(178),"SC")</f>
        <v>SC</v>
      </c>
      <c r="D490" s="1"/>
      <c r="F490" s="4">
        <f>SUM(F491:F493)</f>
        <v>607</v>
      </c>
      <c r="G490" s="4"/>
      <c r="H490" s="4"/>
      <c r="I490" s="4">
        <f>SUM(I491:I493)</f>
        <v>966</v>
      </c>
      <c r="J490" s="4"/>
      <c r="K490" s="4"/>
      <c r="L490" s="4">
        <f>SUM(L491:L493)</f>
        <v>965</v>
      </c>
      <c r="M490" s="4"/>
      <c r="N490" s="4"/>
      <c r="O490" s="4">
        <f>SUM(O491:O493)</f>
        <v>608</v>
      </c>
    </row>
    <row r="491" spans="1:15" ht="13.5" customHeight="1" x14ac:dyDescent="0.3">
      <c r="A491" s="1"/>
      <c r="B491" s="1" t="s">
        <v>4</v>
      </c>
      <c r="C491" s="1"/>
      <c r="D491" s="1"/>
      <c r="E491" s="1"/>
      <c r="F491" s="3">
        <f>VLOOKUP("SC",'[1]Raw Data'!$B$2:$O$102,3,FALSE)</f>
        <v>282</v>
      </c>
      <c r="G491" s="3"/>
      <c r="H491" s="3"/>
      <c r="I491" s="3">
        <f>VLOOKUP("SC",'[1]Raw Data'!$B$2:$O$102,4,FALSE)</f>
        <v>392</v>
      </c>
      <c r="J491" s="3"/>
      <c r="K491" s="3"/>
      <c r="L491" s="3">
        <f>VLOOKUP("SC",'[1]Raw Data'!$B$2:$O$102,5,FALSE)</f>
        <v>360</v>
      </c>
      <c r="M491" s="3"/>
      <c r="N491" s="3"/>
      <c r="O491" s="3">
        <f>VLOOKUP("SC",'[1]Raw Data'!$B$2:$O$102,6,FALSE)</f>
        <v>314</v>
      </c>
    </row>
    <row r="492" spans="1:15" ht="13.5" customHeight="1" x14ac:dyDescent="0.3">
      <c r="A492" s="1"/>
      <c r="B492" s="1" t="s">
        <v>3</v>
      </c>
      <c r="C492" s="1"/>
      <c r="D492" s="1"/>
      <c r="E492" s="1"/>
      <c r="F492" s="3">
        <f>VLOOKUP("SC",'[1]Raw Data'!$B$2:$O$102,7,FALSE)</f>
        <v>73</v>
      </c>
      <c r="G492" s="3"/>
      <c r="H492" s="3"/>
      <c r="I492" s="3">
        <f>VLOOKUP("SC",'[1]Raw Data'!$B$2:$O$102,8,FALSE)</f>
        <v>70</v>
      </c>
      <c r="J492" s="3"/>
      <c r="K492" s="3"/>
      <c r="L492" s="3">
        <f>VLOOKUP("SC",'[1]Raw Data'!$B$2:$O$102,9,FALSE)</f>
        <v>87</v>
      </c>
      <c r="M492" s="3"/>
      <c r="N492" s="3"/>
      <c r="O492" s="3">
        <f>VLOOKUP("SC",'[1]Raw Data'!$B$2:$O$102,10,FALSE)</f>
        <v>56</v>
      </c>
    </row>
    <row r="493" spans="1:15" ht="13.5" customHeight="1" x14ac:dyDescent="0.3">
      <c r="A493" s="1"/>
      <c r="B493" s="1" t="s">
        <v>2</v>
      </c>
      <c r="C493" s="1"/>
      <c r="D493" s="1"/>
      <c r="E493" s="1"/>
      <c r="F493" s="3">
        <f>VLOOKUP("SC",'[1]Raw Data'!$B$2:$O$102,11,FALSE)</f>
        <v>252</v>
      </c>
      <c r="G493" s="3"/>
      <c r="H493" s="3"/>
      <c r="I493" s="3">
        <f>VLOOKUP("SC",'[1]Raw Data'!$B$2:$O$102,12,FALSE)</f>
        <v>504</v>
      </c>
      <c r="J493" s="3"/>
      <c r="K493" s="3"/>
      <c r="L493" s="3">
        <f>VLOOKUP("SC",'[1]Raw Data'!$B$2:$O$102,13,FALSE)</f>
        <v>518</v>
      </c>
      <c r="M493" s="3"/>
      <c r="N493" s="3"/>
      <c r="O493" s="3">
        <f>VLOOKUP("SC",'[1]Raw Data'!$B$2:$O$102,14,FALSE)</f>
        <v>238</v>
      </c>
    </row>
    <row r="494" spans="1:15" ht="12" customHeight="1" x14ac:dyDescent="0.3"/>
    <row r="495" spans="1:15" ht="13.5" customHeight="1" x14ac:dyDescent="0.3">
      <c r="A495" s="1"/>
      <c r="B495" s="1"/>
      <c r="C495" s="5" t="str">
        <f>IF(VLOOKUP("TN, E",'[1]Raw Data'!$B$2:$O$102,2,FALSE)="CDO","TN, E"&amp;" "&amp;CHAR(178),"TN, E")</f>
        <v>TN, E ²</v>
      </c>
      <c r="D495" s="1"/>
      <c r="F495" s="4">
        <f>SUM(F496:F498)</f>
        <v>666</v>
      </c>
      <c r="G495" s="4"/>
      <c r="H495" s="4"/>
      <c r="I495" s="4">
        <f>SUM(I496:I498)</f>
        <v>870</v>
      </c>
      <c r="J495" s="4"/>
      <c r="K495" s="4"/>
      <c r="L495" s="4">
        <f>SUM(L496:L498)</f>
        <v>982</v>
      </c>
      <c r="M495" s="4"/>
      <c r="N495" s="4"/>
      <c r="O495" s="4">
        <f>SUM(O496:O498)</f>
        <v>554</v>
      </c>
    </row>
    <row r="496" spans="1:15" ht="13.5" customHeight="1" x14ac:dyDescent="0.3">
      <c r="A496" s="1"/>
      <c r="B496" s="1" t="s">
        <v>4</v>
      </c>
      <c r="C496" s="1"/>
      <c r="D496" s="1"/>
      <c r="E496" s="1"/>
      <c r="F496" s="3">
        <f>VLOOKUP("TN, E",'[1]Raw Data'!$B$2:$O$102,3,FALSE)</f>
        <v>329</v>
      </c>
      <c r="G496" s="3"/>
      <c r="H496" s="3"/>
      <c r="I496" s="3">
        <f>VLOOKUP("TN, E",'[1]Raw Data'!$B$2:$O$102,4,FALSE)</f>
        <v>377</v>
      </c>
      <c r="J496" s="3"/>
      <c r="K496" s="3"/>
      <c r="L496" s="3">
        <f>VLOOKUP("TN, E",'[1]Raw Data'!$B$2:$O$102,5,FALSE)</f>
        <v>397</v>
      </c>
      <c r="M496" s="3"/>
      <c r="N496" s="3"/>
      <c r="O496" s="3">
        <f>VLOOKUP("TN, E",'[1]Raw Data'!$B$2:$O$102,6,FALSE)</f>
        <v>309</v>
      </c>
    </row>
    <row r="497" spans="1:16" ht="13.5" customHeight="1" x14ac:dyDescent="0.3">
      <c r="A497" s="1"/>
      <c r="B497" s="1" t="s">
        <v>3</v>
      </c>
      <c r="C497" s="1"/>
      <c r="D497" s="1"/>
      <c r="E497" s="1"/>
      <c r="F497" s="3">
        <f>VLOOKUP("TN, E",'[1]Raw Data'!$B$2:$O$102,7,FALSE)</f>
        <v>57</v>
      </c>
      <c r="G497" s="3"/>
      <c r="H497" s="3"/>
      <c r="I497" s="3">
        <f>VLOOKUP("TN, E",'[1]Raw Data'!$B$2:$O$102,8,FALSE)</f>
        <v>35</v>
      </c>
      <c r="J497" s="3"/>
      <c r="K497" s="3"/>
      <c r="L497" s="3">
        <f>VLOOKUP("TN, E",'[1]Raw Data'!$B$2:$O$102,9,FALSE)</f>
        <v>60</v>
      </c>
      <c r="M497" s="3"/>
      <c r="N497" s="3"/>
      <c r="O497" s="3">
        <f>VLOOKUP("TN, E",'[1]Raw Data'!$B$2:$O$102,10,FALSE)</f>
        <v>32</v>
      </c>
    </row>
    <row r="498" spans="1:16" ht="13.5" customHeight="1" x14ac:dyDescent="0.3">
      <c r="A498" s="1"/>
      <c r="B498" s="1" t="s">
        <v>2</v>
      </c>
      <c r="C498" s="1"/>
      <c r="D498" s="1"/>
      <c r="E498" s="1"/>
      <c r="F498" s="3">
        <f>VLOOKUP("TN, E",'[1]Raw Data'!$B$2:$O$102,11,FALSE)</f>
        <v>280</v>
      </c>
      <c r="G498" s="3"/>
      <c r="H498" s="3"/>
      <c r="I498" s="3">
        <f>VLOOKUP("TN, E",'[1]Raw Data'!$B$2:$O$102,12,FALSE)</f>
        <v>458</v>
      </c>
      <c r="J498" s="3"/>
      <c r="K498" s="3"/>
      <c r="L498" s="3">
        <f>VLOOKUP("TN, E",'[1]Raw Data'!$B$2:$O$102,13,FALSE)</f>
        <v>525</v>
      </c>
      <c r="M498" s="3"/>
      <c r="N498" s="3"/>
      <c r="O498" s="3">
        <f>VLOOKUP("TN, E",'[1]Raw Data'!$B$2:$O$102,14,FALSE)</f>
        <v>213</v>
      </c>
    </row>
    <row r="499" spans="1:16" ht="12" customHeight="1" x14ac:dyDescent="0.3"/>
    <row r="500" spans="1:16" ht="13.5" customHeight="1" x14ac:dyDescent="0.3">
      <c r="A500" s="1"/>
      <c r="B500" s="1"/>
      <c r="C500" s="5" t="str">
        <f>IF(VLOOKUP("TN, M",'[1]Raw Data'!$B$2:$O$102,2,FALSE)="CDO","TN, M"&amp;" "&amp;CHAR(178),"TN, M")</f>
        <v>TN, M</v>
      </c>
      <c r="D500" s="1"/>
      <c r="F500" s="4">
        <f>SUM(F501:F503)</f>
        <v>364</v>
      </c>
      <c r="G500" s="4"/>
      <c r="H500" s="4"/>
      <c r="I500" s="4">
        <f>SUM(I501:I503)</f>
        <v>370</v>
      </c>
      <c r="J500" s="4"/>
      <c r="K500" s="4"/>
      <c r="L500" s="4">
        <f>SUM(L501:L503)</f>
        <v>351</v>
      </c>
      <c r="M500" s="4"/>
      <c r="N500" s="4"/>
      <c r="O500" s="4">
        <f>SUM(O501:O503)</f>
        <v>383</v>
      </c>
    </row>
    <row r="501" spans="1:16" ht="13.5" customHeight="1" x14ac:dyDescent="0.3">
      <c r="A501" s="1"/>
      <c r="B501" s="1" t="s">
        <v>4</v>
      </c>
      <c r="C501" s="1"/>
      <c r="D501" s="1"/>
      <c r="E501" s="1"/>
      <c r="F501" s="3">
        <f>VLOOKUP("TN, M",'[1]Raw Data'!$B$2:$O$102,3,FALSE)</f>
        <v>252</v>
      </c>
      <c r="G501" s="3"/>
      <c r="H501" s="3"/>
      <c r="I501" s="3">
        <f>VLOOKUP("TN, M",'[1]Raw Data'!$B$2:$O$102,4,FALSE)</f>
        <v>286</v>
      </c>
      <c r="J501" s="3"/>
      <c r="K501" s="3"/>
      <c r="L501" s="3">
        <f>VLOOKUP("TN, M",'[1]Raw Data'!$B$2:$O$102,5,FALSE)</f>
        <v>262</v>
      </c>
      <c r="M501" s="3"/>
      <c r="N501" s="3"/>
      <c r="O501" s="3">
        <f>VLOOKUP("TN, M",'[1]Raw Data'!$B$2:$O$102,6,FALSE)</f>
        <v>276</v>
      </c>
    </row>
    <row r="502" spans="1:16" ht="13.5" customHeight="1" x14ac:dyDescent="0.3">
      <c r="A502" s="1"/>
      <c r="B502" s="1" t="s">
        <v>3</v>
      </c>
      <c r="C502" s="1"/>
      <c r="D502" s="1"/>
      <c r="E502" s="1"/>
      <c r="F502" s="3">
        <f>VLOOKUP("TN, M",'[1]Raw Data'!$B$2:$O$102,7,FALSE)</f>
        <v>16</v>
      </c>
      <c r="G502" s="3"/>
      <c r="H502" s="3"/>
      <c r="I502" s="3">
        <f>VLOOKUP("TN, M",'[1]Raw Data'!$B$2:$O$102,8,FALSE)</f>
        <v>19</v>
      </c>
      <c r="J502" s="3"/>
      <c r="K502" s="3"/>
      <c r="L502" s="3">
        <f>VLOOKUP("TN, M",'[1]Raw Data'!$B$2:$O$102,9,FALSE)</f>
        <v>19</v>
      </c>
      <c r="M502" s="3"/>
      <c r="N502" s="3"/>
      <c r="O502" s="3">
        <f>VLOOKUP("TN, M",'[1]Raw Data'!$B$2:$O$102,10,FALSE)</f>
        <v>16</v>
      </c>
    </row>
    <row r="503" spans="1:16" ht="13.5" customHeight="1" x14ac:dyDescent="0.3">
      <c r="A503" s="1"/>
      <c r="B503" s="1" t="s">
        <v>2</v>
      </c>
      <c r="C503" s="1"/>
      <c r="D503" s="1"/>
      <c r="E503" s="1"/>
      <c r="F503" s="3">
        <f>VLOOKUP("TN, M",'[1]Raw Data'!$B$2:$O$102,11,FALSE)</f>
        <v>96</v>
      </c>
      <c r="G503" s="3"/>
      <c r="H503" s="3"/>
      <c r="I503" s="3">
        <f>VLOOKUP("TN, M",'[1]Raw Data'!$B$2:$O$102,12,FALSE)</f>
        <v>65</v>
      </c>
      <c r="J503" s="3"/>
      <c r="K503" s="3"/>
      <c r="L503" s="3">
        <f>VLOOKUP("TN, M",'[1]Raw Data'!$B$2:$O$102,13,FALSE)</f>
        <v>70</v>
      </c>
      <c r="M503" s="3"/>
      <c r="N503" s="3"/>
      <c r="O503" s="3">
        <f>VLOOKUP("TN, M",'[1]Raw Data'!$B$2:$O$102,14,FALSE)</f>
        <v>91</v>
      </c>
    </row>
    <row r="504" spans="1:16" ht="12" customHeight="1" x14ac:dyDescent="0.3"/>
    <row r="505" spans="1:16" ht="12" customHeight="1" x14ac:dyDescent="0.3"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6" x14ac:dyDescent="0.3">
      <c r="A506" s="7" t="str">
        <f>"Table K-1. (September 30, "&amp;'[1]Raw Data'!$A$2&amp;"—Continued)"</f>
        <v>Table K-1. (September 30, 2022—Continued)</v>
      </c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6" ht="12" customHeight="1" x14ac:dyDescent="0.3"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6" x14ac:dyDescent="0.3">
      <c r="A508" s="11" t="s">
        <v>12</v>
      </c>
      <c r="B508" s="11"/>
      <c r="C508" s="11"/>
      <c r="D508" s="12"/>
      <c r="E508" s="10" t="s">
        <v>10</v>
      </c>
      <c r="F508" s="11"/>
      <c r="G508" s="12"/>
      <c r="H508" s="10" t="s">
        <v>11</v>
      </c>
      <c r="I508" s="11"/>
      <c r="J508" s="12"/>
      <c r="K508" s="10" t="s">
        <v>11</v>
      </c>
      <c r="L508" s="11"/>
      <c r="M508" s="12"/>
      <c r="N508" s="10" t="s">
        <v>10</v>
      </c>
      <c r="O508" s="11"/>
      <c r="P508" s="11"/>
    </row>
    <row r="509" spans="1:16" ht="13.5" customHeight="1" x14ac:dyDescent="0.3">
      <c r="A509" s="14" t="s">
        <v>9</v>
      </c>
      <c r="B509" s="14"/>
      <c r="C509" s="14"/>
      <c r="D509" s="15"/>
      <c r="E509" s="13" t="s">
        <v>8</v>
      </c>
      <c r="F509" s="14"/>
      <c r="G509" s="15"/>
      <c r="H509" s="13" t="s">
        <v>7</v>
      </c>
      <c r="I509" s="14"/>
      <c r="J509" s="15"/>
      <c r="K509" s="13" t="s">
        <v>6</v>
      </c>
      <c r="L509" s="14"/>
      <c r="M509" s="15"/>
      <c r="N509" s="13" t="s">
        <v>5</v>
      </c>
      <c r="O509" s="14"/>
      <c r="P509" s="14"/>
    </row>
    <row r="510" spans="1:16" ht="3.7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3.5" customHeight="1" x14ac:dyDescent="0.3"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6" ht="13.5" customHeight="1" x14ac:dyDescent="0.3">
      <c r="A512" s="1"/>
      <c r="B512" s="1"/>
      <c r="C512" s="5" t="str">
        <f>IF(VLOOKUP("TN, W",'[1]Raw Data'!$B$2:$O$102,2,FALSE)="CDO","TN, W"&amp;" "&amp;CHAR(178),"TN, W")</f>
        <v>TN, W</v>
      </c>
      <c r="D512" s="1"/>
      <c r="F512" s="4">
        <f>SUM(F513:F515)</f>
        <v>449</v>
      </c>
      <c r="G512" s="4"/>
      <c r="H512" s="4"/>
      <c r="I512" s="4">
        <f>SUM(I513:I515)</f>
        <v>551</v>
      </c>
      <c r="J512" s="4"/>
      <c r="K512" s="4"/>
      <c r="L512" s="4">
        <f>SUM(L513:L515)</f>
        <v>619</v>
      </c>
      <c r="M512" s="4"/>
      <c r="N512" s="4"/>
      <c r="O512" s="4">
        <f>SUM(O513:O515)</f>
        <v>381</v>
      </c>
    </row>
    <row r="513" spans="1:15" ht="13.5" customHeight="1" x14ac:dyDescent="0.3">
      <c r="A513" s="1"/>
      <c r="B513" s="1" t="s">
        <v>4</v>
      </c>
      <c r="C513" s="1"/>
      <c r="D513" s="1"/>
      <c r="E513" s="1"/>
      <c r="F513" s="3">
        <f>VLOOKUP("TN, W",'[1]Raw Data'!$B$2:$O$102,3,FALSE)</f>
        <v>260</v>
      </c>
      <c r="G513" s="3"/>
      <c r="H513" s="3"/>
      <c r="I513" s="3">
        <f>VLOOKUP("TN, W",'[1]Raw Data'!$B$2:$O$102,4,FALSE)</f>
        <v>263</v>
      </c>
      <c r="J513" s="3"/>
      <c r="K513" s="3"/>
      <c r="L513" s="3">
        <f>VLOOKUP("TN, W",'[1]Raw Data'!$B$2:$O$102,5,FALSE)</f>
        <v>295</v>
      </c>
      <c r="M513" s="3"/>
      <c r="N513" s="3"/>
      <c r="O513" s="3">
        <f>VLOOKUP("TN, W",'[1]Raw Data'!$B$2:$O$102,6,FALSE)</f>
        <v>228</v>
      </c>
    </row>
    <row r="514" spans="1:15" ht="13.5" customHeight="1" x14ac:dyDescent="0.3">
      <c r="A514" s="1"/>
      <c r="B514" s="1" t="s">
        <v>3</v>
      </c>
      <c r="C514" s="1"/>
      <c r="D514" s="1"/>
      <c r="E514" s="1"/>
      <c r="F514" s="3">
        <f>VLOOKUP("TN, W",'[1]Raw Data'!$B$2:$O$102,7,FALSE)</f>
        <v>34</v>
      </c>
      <c r="G514" s="3"/>
      <c r="H514" s="3"/>
      <c r="I514" s="3">
        <f>VLOOKUP("TN, W",'[1]Raw Data'!$B$2:$O$102,8,FALSE)</f>
        <v>35</v>
      </c>
      <c r="J514" s="3"/>
      <c r="K514" s="3"/>
      <c r="L514" s="3">
        <f>VLOOKUP("TN, W",'[1]Raw Data'!$B$2:$O$102,9,FALSE)</f>
        <v>52</v>
      </c>
      <c r="M514" s="3"/>
      <c r="N514" s="3"/>
      <c r="O514" s="3">
        <f>VLOOKUP("TN, W",'[1]Raw Data'!$B$2:$O$102,10,FALSE)</f>
        <v>17</v>
      </c>
    </row>
    <row r="515" spans="1:15" ht="13.5" customHeight="1" x14ac:dyDescent="0.3">
      <c r="A515" s="1"/>
      <c r="B515" s="1" t="s">
        <v>2</v>
      </c>
      <c r="C515" s="1"/>
      <c r="D515" s="1"/>
      <c r="E515" s="1"/>
      <c r="F515" s="3">
        <f>VLOOKUP("TN, W",'[1]Raw Data'!$B$2:$O$102,11,FALSE)</f>
        <v>155</v>
      </c>
      <c r="G515" s="3"/>
      <c r="H515" s="3"/>
      <c r="I515" s="3">
        <f>VLOOKUP("TN, W",'[1]Raw Data'!$B$2:$O$102,12,FALSE)</f>
        <v>253</v>
      </c>
      <c r="J515" s="3"/>
      <c r="K515" s="3"/>
      <c r="L515" s="3">
        <f>VLOOKUP("TN, W",'[1]Raw Data'!$B$2:$O$102,13,FALSE)</f>
        <v>272</v>
      </c>
      <c r="M515" s="3"/>
      <c r="N515" s="3"/>
      <c r="O515" s="3">
        <f>VLOOKUP("TN, W",'[1]Raw Data'!$B$2:$O$102,14,FALSE)</f>
        <v>136</v>
      </c>
    </row>
    <row r="516" spans="1:15" ht="12" customHeight="1" x14ac:dyDescent="0.3"/>
    <row r="517" spans="1:15" ht="13.5" customHeight="1" x14ac:dyDescent="0.3">
      <c r="A517" s="1"/>
      <c r="B517" s="1"/>
      <c r="C517" s="5" t="str">
        <f>IF(VLOOKUP("TX, E",'[1]Raw Data'!$B$2:$O$102,2,FALSE)="CDO","TX, E"&amp;" "&amp;CHAR(178),"TX, E")</f>
        <v>TX, E</v>
      </c>
      <c r="D517" s="1"/>
      <c r="F517" s="4">
        <f>SUM(F518:F520)</f>
        <v>377</v>
      </c>
      <c r="G517" s="4"/>
      <c r="H517" s="4"/>
      <c r="I517" s="4">
        <f>SUM(I518:I520)</f>
        <v>689</v>
      </c>
      <c r="J517" s="4"/>
      <c r="K517" s="4"/>
      <c r="L517" s="4">
        <f>SUM(L518:L520)</f>
        <v>605</v>
      </c>
      <c r="M517" s="4"/>
      <c r="N517" s="4"/>
      <c r="O517" s="4">
        <f>SUM(O518:O520)</f>
        <v>461</v>
      </c>
    </row>
    <row r="518" spans="1:15" ht="13.5" customHeight="1" x14ac:dyDescent="0.3">
      <c r="A518" s="1"/>
      <c r="B518" s="1" t="s">
        <v>4</v>
      </c>
      <c r="C518" s="1"/>
      <c r="D518" s="1"/>
      <c r="E518" s="1"/>
      <c r="F518" s="3">
        <f>VLOOKUP("TX, E",'[1]Raw Data'!$B$2:$O$102,3,FALSE)</f>
        <v>327</v>
      </c>
      <c r="G518" s="3"/>
      <c r="H518" s="3"/>
      <c r="I518" s="3">
        <f>VLOOKUP("TX, E",'[1]Raw Data'!$B$2:$O$102,4,FALSE)</f>
        <v>459</v>
      </c>
      <c r="J518" s="3"/>
      <c r="K518" s="3"/>
      <c r="L518" s="3">
        <f>VLOOKUP("TX, E",'[1]Raw Data'!$B$2:$O$102,5,FALSE)</f>
        <v>382</v>
      </c>
      <c r="M518" s="3"/>
      <c r="N518" s="3"/>
      <c r="O518" s="3">
        <f>VLOOKUP("TX, E",'[1]Raw Data'!$B$2:$O$102,6,FALSE)</f>
        <v>404</v>
      </c>
    </row>
    <row r="519" spans="1:15" ht="13.5" customHeight="1" x14ac:dyDescent="0.3">
      <c r="A519" s="1"/>
      <c r="B519" s="1" t="s">
        <v>3</v>
      </c>
      <c r="C519" s="1"/>
      <c r="D519" s="1"/>
      <c r="E519" s="1"/>
      <c r="F519" s="3">
        <f>VLOOKUP("TX, E",'[1]Raw Data'!$B$2:$O$102,7,FALSE)</f>
        <v>13</v>
      </c>
      <c r="G519" s="3"/>
      <c r="H519" s="3"/>
      <c r="I519" s="3">
        <f>VLOOKUP("TX, E",'[1]Raw Data'!$B$2:$O$102,8,FALSE)</f>
        <v>17</v>
      </c>
      <c r="J519" s="3"/>
      <c r="K519" s="3"/>
      <c r="L519" s="3">
        <f>VLOOKUP("TX, E",'[1]Raw Data'!$B$2:$O$102,9,FALSE)</f>
        <v>22</v>
      </c>
      <c r="M519" s="3"/>
      <c r="N519" s="3"/>
      <c r="O519" s="3">
        <f>VLOOKUP("TX, E",'[1]Raw Data'!$B$2:$O$102,10,FALSE)</f>
        <v>8</v>
      </c>
    </row>
    <row r="520" spans="1:15" ht="13.5" customHeight="1" x14ac:dyDescent="0.3">
      <c r="A520" s="1"/>
      <c r="B520" s="1" t="s">
        <v>2</v>
      </c>
      <c r="C520" s="1"/>
      <c r="D520" s="1"/>
      <c r="E520" s="1"/>
      <c r="F520" s="3">
        <f>VLOOKUP("TX, E",'[1]Raw Data'!$B$2:$O$102,11,FALSE)</f>
        <v>37</v>
      </c>
      <c r="G520" s="3"/>
      <c r="H520" s="3"/>
      <c r="I520" s="3">
        <f>VLOOKUP("TX, E",'[1]Raw Data'!$B$2:$O$102,12,FALSE)</f>
        <v>213</v>
      </c>
      <c r="J520" s="3"/>
      <c r="K520" s="3"/>
      <c r="L520" s="3">
        <f>VLOOKUP("TX, E",'[1]Raw Data'!$B$2:$O$102,13,FALSE)</f>
        <v>201</v>
      </c>
      <c r="M520" s="3"/>
      <c r="N520" s="3"/>
      <c r="O520" s="3">
        <f>VLOOKUP("TX, E",'[1]Raw Data'!$B$2:$O$102,14,FALSE)</f>
        <v>49</v>
      </c>
    </row>
    <row r="521" spans="1:15" ht="12" customHeight="1" x14ac:dyDescent="0.3"/>
    <row r="522" spans="1:15" ht="13.5" customHeight="1" x14ac:dyDescent="0.3">
      <c r="A522" s="1"/>
      <c r="B522" s="1"/>
      <c r="C522" s="5" t="str">
        <f>IF(VLOOKUP("TX, N",'[1]Raw Data'!$B$2:$O$102,2,FALSE)="CDO","TX, N"&amp;" "&amp;CHAR(178),"TX, N")</f>
        <v>TX, N</v>
      </c>
      <c r="D522" s="1"/>
      <c r="F522" s="4">
        <f>SUM(F523:F525)</f>
        <v>946</v>
      </c>
      <c r="G522" s="4"/>
      <c r="H522" s="4"/>
      <c r="I522" s="4">
        <f>SUM(I523:I525)</f>
        <v>1813</v>
      </c>
      <c r="J522" s="4"/>
      <c r="K522" s="4"/>
      <c r="L522" s="4">
        <f>SUM(L523:L525)</f>
        <v>1872</v>
      </c>
      <c r="M522" s="4"/>
      <c r="N522" s="4"/>
      <c r="O522" s="4">
        <f>SUM(O523:O525)</f>
        <v>887</v>
      </c>
    </row>
    <row r="523" spans="1:15" ht="13.5" customHeight="1" x14ac:dyDescent="0.3">
      <c r="A523" s="1"/>
      <c r="B523" s="1" t="s">
        <v>4</v>
      </c>
      <c r="C523" s="1"/>
      <c r="D523" s="1"/>
      <c r="E523" s="1"/>
      <c r="F523" s="3">
        <f>VLOOKUP("TX, N",'[1]Raw Data'!$B$2:$O$102,3,FALSE)</f>
        <v>481</v>
      </c>
      <c r="G523" s="3"/>
      <c r="H523" s="3"/>
      <c r="I523" s="3">
        <f>VLOOKUP("TX, N",'[1]Raw Data'!$B$2:$O$102,4,FALSE)</f>
        <v>719</v>
      </c>
      <c r="J523" s="3"/>
      <c r="K523" s="3"/>
      <c r="L523" s="3">
        <f>VLOOKUP("TX, N",'[1]Raw Data'!$B$2:$O$102,5,FALSE)</f>
        <v>742</v>
      </c>
      <c r="M523" s="3"/>
      <c r="N523" s="3"/>
      <c r="O523" s="3">
        <f>VLOOKUP("TX, N",'[1]Raw Data'!$B$2:$O$102,6,FALSE)</f>
        <v>458</v>
      </c>
    </row>
    <row r="524" spans="1:15" ht="13.5" customHeight="1" x14ac:dyDescent="0.3">
      <c r="A524" s="1"/>
      <c r="B524" s="1" t="s">
        <v>3</v>
      </c>
      <c r="C524" s="1"/>
      <c r="D524" s="1"/>
      <c r="E524" s="1"/>
      <c r="F524" s="3">
        <f>VLOOKUP("TX, N",'[1]Raw Data'!$B$2:$O$102,7,FALSE)</f>
        <v>307</v>
      </c>
      <c r="G524" s="3"/>
      <c r="H524" s="3"/>
      <c r="I524" s="3">
        <f>VLOOKUP("TX, N",'[1]Raw Data'!$B$2:$O$102,8,FALSE)</f>
        <v>459</v>
      </c>
      <c r="J524" s="3"/>
      <c r="K524" s="3"/>
      <c r="L524" s="3">
        <f>VLOOKUP("TX, N",'[1]Raw Data'!$B$2:$O$102,9,FALSE)</f>
        <v>510</v>
      </c>
      <c r="M524" s="3"/>
      <c r="N524" s="3"/>
      <c r="O524" s="3">
        <f>VLOOKUP("TX, N",'[1]Raw Data'!$B$2:$O$102,10,FALSE)</f>
        <v>256</v>
      </c>
    </row>
    <row r="525" spans="1:15" ht="13.5" customHeight="1" x14ac:dyDescent="0.3">
      <c r="A525" s="1"/>
      <c r="B525" s="1" t="s">
        <v>2</v>
      </c>
      <c r="C525" s="1"/>
      <c r="D525" s="1"/>
      <c r="E525" s="1"/>
      <c r="F525" s="3">
        <f>VLOOKUP("TX, N",'[1]Raw Data'!$B$2:$O$102,11,FALSE)</f>
        <v>158</v>
      </c>
      <c r="G525" s="3"/>
      <c r="H525" s="3"/>
      <c r="I525" s="3">
        <f>VLOOKUP("TX, N",'[1]Raw Data'!$B$2:$O$102,12,FALSE)</f>
        <v>635</v>
      </c>
      <c r="J525" s="3"/>
      <c r="K525" s="3"/>
      <c r="L525" s="3">
        <f>VLOOKUP("TX, N",'[1]Raw Data'!$B$2:$O$102,13,FALSE)</f>
        <v>620</v>
      </c>
      <c r="M525" s="3"/>
      <c r="N525" s="3"/>
      <c r="O525" s="3">
        <f>VLOOKUP("TX, N",'[1]Raw Data'!$B$2:$O$102,14,FALSE)</f>
        <v>173</v>
      </c>
    </row>
    <row r="526" spans="1:15" ht="12" customHeight="1" x14ac:dyDescent="0.3"/>
    <row r="527" spans="1:15" ht="13.5" customHeight="1" x14ac:dyDescent="0.3">
      <c r="A527" s="1"/>
      <c r="B527" s="1"/>
      <c r="C527" s="5" t="str">
        <f>IF(VLOOKUP("TX, S",'[1]Raw Data'!$B$2:$O$102,2,FALSE)="CDO","TX, S"&amp;" "&amp;CHAR(178),"TX, S")</f>
        <v>TX, S</v>
      </c>
      <c r="D527" s="1"/>
      <c r="F527" s="4">
        <f>SUM(F528:F530)</f>
        <v>3332</v>
      </c>
      <c r="G527" s="4"/>
      <c r="H527" s="4"/>
      <c r="I527" s="4">
        <f>SUM(I528:I530)</f>
        <v>7916</v>
      </c>
      <c r="J527" s="4"/>
      <c r="K527" s="4"/>
      <c r="L527" s="4">
        <f>SUM(L528:L530)</f>
        <v>8172</v>
      </c>
      <c r="M527" s="4"/>
      <c r="N527" s="4"/>
      <c r="O527" s="4">
        <f>SUM(O528:O530)</f>
        <v>3077</v>
      </c>
    </row>
    <row r="528" spans="1:15" ht="13.5" customHeight="1" x14ac:dyDescent="0.3">
      <c r="A528" s="1"/>
      <c r="B528" s="1" t="s">
        <v>4</v>
      </c>
      <c r="C528" s="1"/>
      <c r="D528" s="1"/>
      <c r="E528" s="1"/>
      <c r="F528" s="3">
        <f>VLOOKUP("TX, S",'[1]Raw Data'!$B$2:$O$102,3,FALSE)</f>
        <v>2724</v>
      </c>
      <c r="G528" s="3"/>
      <c r="H528" s="3"/>
      <c r="I528" s="3">
        <f>VLOOKUP("TX, S",'[1]Raw Data'!$B$2:$O$102,4,FALSE)</f>
        <v>5852</v>
      </c>
      <c r="J528" s="3"/>
      <c r="K528" s="3"/>
      <c r="L528" s="3">
        <f>VLOOKUP("TX, S",'[1]Raw Data'!$B$2:$O$102,5,FALSE)</f>
        <v>6026</v>
      </c>
      <c r="M528" s="3"/>
      <c r="N528" s="3"/>
      <c r="O528" s="3">
        <f>VLOOKUP("TX, S",'[1]Raw Data'!$B$2:$O$102,6,FALSE)</f>
        <v>2551</v>
      </c>
    </row>
    <row r="529" spans="1:15" ht="13.5" customHeight="1" x14ac:dyDescent="0.3">
      <c r="A529" s="1"/>
      <c r="B529" s="1" t="s">
        <v>3</v>
      </c>
      <c r="C529" s="1"/>
      <c r="D529" s="1"/>
      <c r="E529" s="1"/>
      <c r="F529" s="3">
        <f>VLOOKUP("TX, S",'[1]Raw Data'!$B$2:$O$102,7,FALSE)</f>
        <v>188</v>
      </c>
      <c r="G529" s="3"/>
      <c r="H529" s="3"/>
      <c r="I529" s="3">
        <f>VLOOKUP("TX, S",'[1]Raw Data'!$B$2:$O$102,8,FALSE)</f>
        <v>212</v>
      </c>
      <c r="J529" s="3"/>
      <c r="K529" s="3"/>
      <c r="L529" s="3">
        <f>VLOOKUP("TX, S",'[1]Raw Data'!$B$2:$O$102,9,FALSE)</f>
        <v>292</v>
      </c>
      <c r="M529" s="3"/>
      <c r="N529" s="3"/>
      <c r="O529" s="3">
        <f>VLOOKUP("TX, S",'[1]Raw Data'!$B$2:$O$102,10,FALSE)</f>
        <v>109</v>
      </c>
    </row>
    <row r="530" spans="1:15" ht="13.5" customHeight="1" x14ac:dyDescent="0.3">
      <c r="A530" s="1"/>
      <c r="B530" s="1" t="s">
        <v>2</v>
      </c>
      <c r="C530" s="1"/>
      <c r="D530" s="1"/>
      <c r="E530" s="1"/>
      <c r="F530" s="3">
        <f>VLOOKUP("TX, S",'[1]Raw Data'!$B$2:$O$102,11,FALSE)</f>
        <v>420</v>
      </c>
      <c r="G530" s="3"/>
      <c r="H530" s="3"/>
      <c r="I530" s="3">
        <f>VLOOKUP("TX, S",'[1]Raw Data'!$B$2:$O$102,12,FALSE)</f>
        <v>1852</v>
      </c>
      <c r="J530" s="3"/>
      <c r="K530" s="3"/>
      <c r="L530" s="3">
        <f>VLOOKUP("TX, S",'[1]Raw Data'!$B$2:$O$102,13,FALSE)</f>
        <v>1854</v>
      </c>
      <c r="M530" s="3"/>
      <c r="N530" s="3"/>
      <c r="O530" s="3">
        <f>VLOOKUP("TX, S",'[1]Raw Data'!$B$2:$O$102,14,FALSE)</f>
        <v>417</v>
      </c>
    </row>
    <row r="531" spans="1:15" ht="12" customHeight="1" x14ac:dyDescent="0.3"/>
    <row r="532" spans="1:15" ht="13.5" customHeight="1" x14ac:dyDescent="0.3">
      <c r="A532" s="1"/>
      <c r="B532" s="1"/>
      <c r="C532" s="5" t="str">
        <f>IF(VLOOKUP("TX, W",'[1]Raw Data'!$B$2:$O$102,2,FALSE)="CDO","TX, W"&amp;" "&amp;CHAR(178),"TX, W")</f>
        <v>TX, W</v>
      </c>
      <c r="D532" s="1"/>
      <c r="F532" s="4">
        <f>SUM(F533:F535)</f>
        <v>2897</v>
      </c>
      <c r="G532" s="4"/>
      <c r="H532" s="4"/>
      <c r="I532" s="4">
        <f>SUM(I533:I535)</f>
        <v>5661</v>
      </c>
      <c r="J532" s="4"/>
      <c r="K532" s="4"/>
      <c r="L532" s="4">
        <f>SUM(L533:L535)</f>
        <v>5149</v>
      </c>
      <c r="M532" s="4"/>
      <c r="N532" s="4"/>
      <c r="O532" s="4">
        <f>SUM(O533:O535)</f>
        <v>3409</v>
      </c>
    </row>
    <row r="533" spans="1:15" ht="13.5" customHeight="1" x14ac:dyDescent="0.3">
      <c r="A533" s="1"/>
      <c r="B533" s="1" t="s">
        <v>4</v>
      </c>
      <c r="C533" s="1"/>
      <c r="D533" s="1"/>
      <c r="E533" s="1"/>
      <c r="F533" s="3">
        <f>VLOOKUP("TX, W",'[1]Raw Data'!$B$2:$O$102,3,FALSE)</f>
        <v>2259</v>
      </c>
      <c r="G533" s="3"/>
      <c r="H533" s="3"/>
      <c r="I533" s="3">
        <f>VLOOKUP("TX, W",'[1]Raw Data'!$B$2:$O$102,4,FALSE)</f>
        <v>4009</v>
      </c>
      <c r="J533" s="3"/>
      <c r="K533" s="3"/>
      <c r="L533" s="3">
        <f>VLOOKUP("TX, W",'[1]Raw Data'!$B$2:$O$102,5,FALSE)</f>
        <v>3567</v>
      </c>
      <c r="M533" s="3"/>
      <c r="N533" s="3"/>
      <c r="O533" s="3">
        <f>VLOOKUP("TX, W",'[1]Raw Data'!$B$2:$O$102,6,FALSE)</f>
        <v>2701</v>
      </c>
    </row>
    <row r="534" spans="1:15" ht="13.5" customHeight="1" x14ac:dyDescent="0.3">
      <c r="A534" s="1"/>
      <c r="B534" s="1" t="s">
        <v>3</v>
      </c>
      <c r="C534" s="1"/>
      <c r="D534" s="1"/>
      <c r="E534" s="1"/>
      <c r="F534" s="3">
        <f>VLOOKUP("TX, W",'[1]Raw Data'!$B$2:$O$102,7,FALSE)</f>
        <v>292</v>
      </c>
      <c r="G534" s="3"/>
      <c r="H534" s="3"/>
      <c r="I534" s="3">
        <f>VLOOKUP("TX, W",'[1]Raw Data'!$B$2:$O$102,8,FALSE)</f>
        <v>386</v>
      </c>
      <c r="J534" s="3"/>
      <c r="K534" s="3"/>
      <c r="L534" s="3">
        <f>VLOOKUP("TX, W",'[1]Raw Data'!$B$2:$O$102,9,FALSE)</f>
        <v>356</v>
      </c>
      <c r="M534" s="3"/>
      <c r="N534" s="3"/>
      <c r="O534" s="3">
        <f>VLOOKUP("TX, W",'[1]Raw Data'!$B$2:$O$102,10,FALSE)</f>
        <v>322</v>
      </c>
    </row>
    <row r="535" spans="1:15" ht="13.5" customHeight="1" x14ac:dyDescent="0.3">
      <c r="A535" s="1"/>
      <c r="B535" s="1" t="s">
        <v>2</v>
      </c>
      <c r="C535" s="1"/>
      <c r="D535" s="1"/>
      <c r="E535" s="1"/>
      <c r="F535" s="3">
        <f>VLOOKUP("TX, W",'[1]Raw Data'!$B$2:$O$102,11,FALSE)</f>
        <v>346</v>
      </c>
      <c r="G535" s="3"/>
      <c r="H535" s="3"/>
      <c r="I535" s="3">
        <f>VLOOKUP("TX, W",'[1]Raw Data'!$B$2:$O$102,12,FALSE)</f>
        <v>1266</v>
      </c>
      <c r="J535" s="3"/>
      <c r="K535" s="3"/>
      <c r="L535" s="3">
        <f>VLOOKUP("TX, W",'[1]Raw Data'!$B$2:$O$102,13,FALSE)</f>
        <v>1226</v>
      </c>
      <c r="M535" s="3"/>
      <c r="N535" s="3"/>
      <c r="O535" s="3">
        <f>VLOOKUP("TX, W",'[1]Raw Data'!$B$2:$O$102,14,FALSE)</f>
        <v>386</v>
      </c>
    </row>
    <row r="536" spans="1:15" ht="12" customHeight="1" x14ac:dyDescent="0.3"/>
    <row r="537" spans="1:15" ht="13.5" customHeight="1" x14ac:dyDescent="0.3">
      <c r="A537" s="1"/>
      <c r="B537" s="1"/>
      <c r="C537" s="5" t="str">
        <f>IF(VLOOKUP("UT",'[1]Raw Data'!$B$2:$O$102,2,FALSE)="CDO","UT"&amp;" "&amp;CHAR(178),"UT")</f>
        <v>UT</v>
      </c>
      <c r="D537" s="1"/>
      <c r="F537" s="4">
        <f>SUM(F538:F540)</f>
        <v>1197</v>
      </c>
      <c r="G537" s="4"/>
      <c r="H537" s="4"/>
      <c r="I537" s="4">
        <f>SUM(I538:I540)</f>
        <v>909</v>
      </c>
      <c r="J537" s="4"/>
      <c r="K537" s="4"/>
      <c r="L537" s="4">
        <f>SUM(L538:L540)</f>
        <v>860</v>
      </c>
      <c r="M537" s="4"/>
      <c r="N537" s="4"/>
      <c r="O537" s="4">
        <f>SUM(O538:O540)</f>
        <v>1246</v>
      </c>
    </row>
    <row r="538" spans="1:15" ht="13.5" customHeight="1" x14ac:dyDescent="0.3">
      <c r="A538" s="1"/>
      <c r="B538" s="1" t="s">
        <v>4</v>
      </c>
      <c r="C538" s="1"/>
      <c r="D538" s="1"/>
      <c r="E538" s="1"/>
      <c r="F538" s="3">
        <f>VLOOKUP("UT",'[1]Raw Data'!$B$2:$O$102,3,FALSE)</f>
        <v>701</v>
      </c>
      <c r="G538" s="3"/>
      <c r="H538" s="3"/>
      <c r="I538" s="3">
        <f>VLOOKUP("UT",'[1]Raw Data'!$B$2:$O$102,4,FALSE)</f>
        <v>568</v>
      </c>
      <c r="J538" s="3"/>
      <c r="K538" s="3"/>
      <c r="L538" s="3">
        <f>VLOOKUP("UT",'[1]Raw Data'!$B$2:$O$102,5,FALSE)</f>
        <v>509</v>
      </c>
      <c r="M538" s="3"/>
      <c r="N538" s="3"/>
      <c r="O538" s="3">
        <f>VLOOKUP("UT",'[1]Raw Data'!$B$2:$O$102,6,FALSE)</f>
        <v>760</v>
      </c>
    </row>
    <row r="539" spans="1:15" ht="13.5" customHeight="1" x14ac:dyDescent="0.3">
      <c r="A539" s="1"/>
      <c r="B539" s="1" t="s">
        <v>3</v>
      </c>
      <c r="C539" s="1"/>
      <c r="D539" s="1"/>
      <c r="E539" s="1"/>
      <c r="F539" s="3">
        <f>VLOOKUP("UT",'[1]Raw Data'!$B$2:$O$102,7,FALSE)</f>
        <v>53</v>
      </c>
      <c r="G539" s="3"/>
      <c r="H539" s="3"/>
      <c r="I539" s="3">
        <f>VLOOKUP("UT",'[1]Raw Data'!$B$2:$O$102,8,FALSE)</f>
        <v>21</v>
      </c>
      <c r="J539" s="3"/>
      <c r="K539" s="3"/>
      <c r="L539" s="3">
        <f>VLOOKUP("UT",'[1]Raw Data'!$B$2:$O$102,9,FALSE)</f>
        <v>26</v>
      </c>
      <c r="M539" s="3"/>
      <c r="N539" s="3"/>
      <c r="O539" s="3">
        <f>VLOOKUP("UT",'[1]Raw Data'!$B$2:$O$102,10,FALSE)</f>
        <v>48</v>
      </c>
    </row>
    <row r="540" spans="1:15" ht="13.5" customHeight="1" x14ac:dyDescent="0.3">
      <c r="A540" s="1"/>
      <c r="B540" s="1" t="s">
        <v>2</v>
      </c>
      <c r="C540" s="1"/>
      <c r="D540" s="1"/>
      <c r="E540" s="1"/>
      <c r="F540" s="3">
        <f>VLOOKUP("UT",'[1]Raw Data'!$B$2:$O$102,11,FALSE)</f>
        <v>443</v>
      </c>
      <c r="G540" s="3"/>
      <c r="H540" s="3"/>
      <c r="I540" s="3">
        <f>VLOOKUP("UT",'[1]Raw Data'!$B$2:$O$102,12,FALSE)</f>
        <v>320</v>
      </c>
      <c r="J540" s="3"/>
      <c r="K540" s="3"/>
      <c r="L540" s="3">
        <f>VLOOKUP("UT",'[1]Raw Data'!$B$2:$O$102,13,FALSE)</f>
        <v>325</v>
      </c>
      <c r="M540" s="3"/>
      <c r="N540" s="3"/>
      <c r="O540" s="3">
        <f>VLOOKUP("UT",'[1]Raw Data'!$B$2:$O$102,14,FALSE)</f>
        <v>438</v>
      </c>
    </row>
    <row r="541" spans="1:15" ht="12" customHeight="1" x14ac:dyDescent="0.3"/>
    <row r="542" spans="1:15" ht="13.5" customHeight="1" x14ac:dyDescent="0.3">
      <c r="A542" s="1"/>
      <c r="B542" s="1"/>
      <c r="C542" s="5" t="str">
        <f>IF(VLOOKUP("VA, E",'[1]Raw Data'!$B$2:$O$102,2,FALSE)="CDO","VA, E"&amp;" "&amp;CHAR(178),"VA, E")</f>
        <v>VA, E</v>
      </c>
      <c r="D542" s="1"/>
      <c r="F542" s="4">
        <f>SUM(F543:F545)</f>
        <v>1333</v>
      </c>
      <c r="G542" s="4"/>
      <c r="H542" s="4"/>
      <c r="I542" s="4">
        <f>SUM(I543:I545)</f>
        <v>1356</v>
      </c>
      <c r="J542" s="4"/>
      <c r="K542" s="4"/>
      <c r="L542" s="4">
        <f>SUM(L543:L545)</f>
        <v>1774</v>
      </c>
      <c r="M542" s="4"/>
      <c r="N542" s="4"/>
      <c r="O542" s="4">
        <f>SUM(O543:O545)</f>
        <v>916</v>
      </c>
    </row>
    <row r="543" spans="1:15" ht="13.5" customHeight="1" x14ac:dyDescent="0.3">
      <c r="A543" s="1"/>
      <c r="B543" s="1" t="s">
        <v>4</v>
      </c>
      <c r="C543" s="1"/>
      <c r="D543" s="1"/>
      <c r="E543" s="1"/>
      <c r="F543" s="3">
        <f>VLOOKUP("VA, E",'[1]Raw Data'!$B$2:$O$102,3,FALSE)</f>
        <v>392</v>
      </c>
      <c r="G543" s="3"/>
      <c r="H543" s="3"/>
      <c r="I543" s="3">
        <f>VLOOKUP("VA, E",'[1]Raw Data'!$B$2:$O$102,4,FALSE)</f>
        <v>640</v>
      </c>
      <c r="J543" s="3"/>
      <c r="K543" s="3"/>
      <c r="L543" s="3">
        <f>VLOOKUP("VA, E",'[1]Raw Data'!$B$2:$O$102,5,FALSE)</f>
        <v>713</v>
      </c>
      <c r="M543" s="3"/>
      <c r="N543" s="3"/>
      <c r="O543" s="3">
        <f>VLOOKUP("VA, E",'[1]Raw Data'!$B$2:$O$102,6,FALSE)</f>
        <v>319</v>
      </c>
    </row>
    <row r="544" spans="1:15" ht="13.5" customHeight="1" x14ac:dyDescent="0.3">
      <c r="A544" s="1"/>
      <c r="B544" s="1" t="s">
        <v>3</v>
      </c>
      <c r="C544" s="1"/>
      <c r="D544" s="1"/>
      <c r="E544" s="1"/>
      <c r="F544" s="3">
        <f>VLOOKUP("VA, E",'[1]Raw Data'!$B$2:$O$102,7,FALSE)</f>
        <v>199</v>
      </c>
      <c r="G544" s="3"/>
      <c r="H544" s="3"/>
      <c r="I544" s="3">
        <f>VLOOKUP("VA, E",'[1]Raw Data'!$B$2:$O$102,8,FALSE)</f>
        <v>54</v>
      </c>
      <c r="J544" s="3"/>
      <c r="K544" s="3"/>
      <c r="L544" s="3">
        <f>VLOOKUP("VA, E",'[1]Raw Data'!$B$2:$O$102,9,FALSE)</f>
        <v>186</v>
      </c>
      <c r="M544" s="3"/>
      <c r="N544" s="3"/>
      <c r="O544" s="3">
        <f>VLOOKUP("VA, E",'[1]Raw Data'!$B$2:$O$102,10,FALSE)</f>
        <v>67</v>
      </c>
    </row>
    <row r="545" spans="1:16" ht="13.5" customHeight="1" x14ac:dyDescent="0.3">
      <c r="A545" s="1"/>
      <c r="B545" s="1" t="s">
        <v>2</v>
      </c>
      <c r="C545" s="1"/>
      <c r="D545" s="1"/>
      <c r="E545" s="1"/>
      <c r="F545" s="3">
        <f>VLOOKUP("VA, E",'[1]Raw Data'!$B$2:$O$102,11,FALSE)</f>
        <v>742</v>
      </c>
      <c r="G545" s="3"/>
      <c r="H545" s="3"/>
      <c r="I545" s="3">
        <f>VLOOKUP("VA, E",'[1]Raw Data'!$B$2:$O$102,12,FALSE)</f>
        <v>662</v>
      </c>
      <c r="J545" s="3"/>
      <c r="K545" s="3"/>
      <c r="L545" s="3">
        <f>VLOOKUP("VA, E",'[1]Raw Data'!$B$2:$O$102,13,FALSE)</f>
        <v>875</v>
      </c>
      <c r="M545" s="3"/>
      <c r="N545" s="3"/>
      <c r="O545" s="3">
        <f>VLOOKUP("VA, E",'[1]Raw Data'!$B$2:$O$102,14,FALSE)</f>
        <v>530</v>
      </c>
    </row>
    <row r="546" spans="1:16" ht="12" customHeight="1" x14ac:dyDescent="0.3"/>
    <row r="547" spans="1:16" ht="12" customHeight="1" x14ac:dyDescent="0.3"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6" ht="15" customHeight="1" x14ac:dyDescent="0.3">
      <c r="A548" s="7" t="str">
        <f>"Table K-1. (September 30, "&amp;'[1]Raw Data'!$A$2&amp;"—Continued)"</f>
        <v>Table K-1. (September 30, 2022—Continued)</v>
      </c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6" ht="12" customHeight="1" x14ac:dyDescent="0.3"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6" ht="15" customHeight="1" x14ac:dyDescent="0.3">
      <c r="A550" s="11" t="s">
        <v>12</v>
      </c>
      <c r="B550" s="11"/>
      <c r="C550" s="11"/>
      <c r="D550" s="12"/>
      <c r="E550" s="10" t="s">
        <v>10</v>
      </c>
      <c r="F550" s="11"/>
      <c r="G550" s="12"/>
      <c r="H550" s="10" t="s">
        <v>11</v>
      </c>
      <c r="I550" s="11"/>
      <c r="J550" s="12"/>
      <c r="K550" s="10" t="s">
        <v>11</v>
      </c>
      <c r="L550" s="11"/>
      <c r="M550" s="12"/>
      <c r="N550" s="10" t="s">
        <v>10</v>
      </c>
      <c r="O550" s="11"/>
      <c r="P550" s="11"/>
    </row>
    <row r="551" spans="1:16" ht="13.5" customHeight="1" x14ac:dyDescent="0.3">
      <c r="A551" s="14" t="s">
        <v>9</v>
      </c>
      <c r="B551" s="14"/>
      <c r="C551" s="14"/>
      <c r="D551" s="15"/>
      <c r="E551" s="13" t="s">
        <v>8</v>
      </c>
      <c r="F551" s="14"/>
      <c r="G551" s="15"/>
      <c r="H551" s="13" t="s">
        <v>7</v>
      </c>
      <c r="I551" s="14"/>
      <c r="J551" s="15"/>
      <c r="K551" s="13" t="s">
        <v>6</v>
      </c>
      <c r="L551" s="14"/>
      <c r="M551" s="15"/>
      <c r="N551" s="13" t="s">
        <v>5</v>
      </c>
      <c r="O551" s="14"/>
      <c r="P551" s="14"/>
    </row>
    <row r="552" spans="1:16" ht="3.7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3.5" customHeight="1" x14ac:dyDescent="0.3"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6" ht="13.5" customHeight="1" x14ac:dyDescent="0.3">
      <c r="A554" s="1"/>
      <c r="B554" s="1"/>
      <c r="C554" s="5" t="str">
        <f>IF(VLOOKUP("VA, W",'[1]Raw Data'!$B$2:$O$102,2,FALSE)="CDO","VA, W"&amp;" "&amp;CHAR(178),"VA, W")</f>
        <v>VA, W</v>
      </c>
      <c r="D554" s="1"/>
      <c r="F554" s="4">
        <f>SUM(F555:F557)</f>
        <v>507</v>
      </c>
      <c r="G554" s="4"/>
      <c r="H554" s="4"/>
      <c r="I554" s="4">
        <f>SUM(I555:I557)</f>
        <v>548</v>
      </c>
      <c r="J554" s="4"/>
      <c r="K554" s="4"/>
      <c r="L554" s="4">
        <f>SUM(L555:L557)</f>
        <v>671</v>
      </c>
      <c r="M554" s="4"/>
      <c r="N554" s="4"/>
      <c r="O554" s="4">
        <f>SUM(O555:O557)</f>
        <v>384</v>
      </c>
    </row>
    <row r="555" spans="1:16" ht="13.5" customHeight="1" x14ac:dyDescent="0.3">
      <c r="A555" s="1"/>
      <c r="B555" s="1" t="s">
        <v>4</v>
      </c>
      <c r="C555" s="1"/>
      <c r="D555" s="1"/>
      <c r="E555" s="1"/>
      <c r="F555" s="3">
        <f>VLOOKUP("VA, W",'[1]Raw Data'!$B$2:$O$102,3,FALSE)</f>
        <v>250</v>
      </c>
      <c r="G555" s="3"/>
      <c r="H555" s="3"/>
      <c r="I555" s="3">
        <f>VLOOKUP("VA, W",'[1]Raw Data'!$B$2:$O$102,4,FALSE)</f>
        <v>256</v>
      </c>
      <c r="J555" s="3"/>
      <c r="K555" s="3"/>
      <c r="L555" s="3">
        <f>VLOOKUP("VA, W",'[1]Raw Data'!$B$2:$O$102,5,FALSE)</f>
        <v>349</v>
      </c>
      <c r="M555" s="3"/>
      <c r="N555" s="3"/>
      <c r="O555" s="3">
        <f>VLOOKUP("VA, W",'[1]Raw Data'!$B$2:$O$102,6,FALSE)</f>
        <v>157</v>
      </c>
    </row>
    <row r="556" spans="1:16" ht="13.5" customHeight="1" x14ac:dyDescent="0.3">
      <c r="A556" s="1"/>
      <c r="B556" s="1" t="s">
        <v>3</v>
      </c>
      <c r="C556" s="1"/>
      <c r="D556" s="1"/>
      <c r="E556" s="1"/>
      <c r="F556" s="3">
        <f>VLOOKUP("VA, W",'[1]Raw Data'!$B$2:$O$102,7,FALSE)</f>
        <v>26</v>
      </c>
      <c r="G556" s="3"/>
      <c r="H556" s="3"/>
      <c r="I556" s="3">
        <f>VLOOKUP("VA, W",'[1]Raw Data'!$B$2:$O$102,8,FALSE)</f>
        <v>37</v>
      </c>
      <c r="J556" s="3"/>
      <c r="K556" s="3"/>
      <c r="L556" s="3">
        <f>VLOOKUP("VA, W",'[1]Raw Data'!$B$2:$O$102,9,FALSE)</f>
        <v>38</v>
      </c>
      <c r="M556" s="3"/>
      <c r="N556" s="3"/>
      <c r="O556" s="3">
        <f>VLOOKUP("VA, W",'[1]Raw Data'!$B$2:$O$102,10,FALSE)</f>
        <v>25</v>
      </c>
    </row>
    <row r="557" spans="1:16" ht="13.5" customHeight="1" x14ac:dyDescent="0.3">
      <c r="A557" s="1"/>
      <c r="B557" s="1" t="s">
        <v>2</v>
      </c>
      <c r="C557" s="1"/>
      <c r="D557" s="1"/>
      <c r="E557" s="1"/>
      <c r="F557" s="3">
        <f>VLOOKUP("VA, W",'[1]Raw Data'!$B$2:$O$102,11,FALSE)</f>
        <v>231</v>
      </c>
      <c r="G557" s="3"/>
      <c r="H557" s="3"/>
      <c r="I557" s="3">
        <f>VLOOKUP("VA, W",'[1]Raw Data'!$B$2:$O$102,12,FALSE)</f>
        <v>255</v>
      </c>
      <c r="J557" s="3"/>
      <c r="K557" s="3"/>
      <c r="L557" s="3">
        <f>VLOOKUP("VA, W",'[1]Raw Data'!$B$2:$O$102,13,FALSE)</f>
        <v>284</v>
      </c>
      <c r="M557" s="3"/>
      <c r="N557" s="3"/>
      <c r="O557" s="3">
        <f>VLOOKUP("VA, W",'[1]Raw Data'!$B$2:$O$102,14,FALSE)</f>
        <v>202</v>
      </c>
    </row>
    <row r="558" spans="1:16" ht="12" customHeight="1" x14ac:dyDescent="0.3"/>
    <row r="559" spans="1:16" ht="13.5" customHeight="1" x14ac:dyDescent="0.3">
      <c r="A559" s="1"/>
      <c r="B559" s="1"/>
      <c r="C559" s="5" t="str">
        <f>IF(VLOOKUP("VI",'[1]Raw Data'!$B$2:$O$102,2,FALSE)="CDO","VI"&amp;" "&amp;CHAR(178),"VI")</f>
        <v>VI</v>
      </c>
      <c r="D559" s="1"/>
      <c r="F559" s="4">
        <f>SUM(F560:F562)</f>
        <v>73</v>
      </c>
      <c r="G559" s="4"/>
      <c r="H559" s="4"/>
      <c r="I559" s="4">
        <f>SUM(I560:I562)</f>
        <v>73</v>
      </c>
      <c r="J559" s="4"/>
      <c r="K559" s="4"/>
      <c r="L559" s="4">
        <f>SUM(L560:L562)</f>
        <v>76</v>
      </c>
      <c r="M559" s="4"/>
      <c r="N559" s="4"/>
      <c r="O559" s="4">
        <f>SUM(O560:O562)</f>
        <v>70</v>
      </c>
    </row>
    <row r="560" spans="1:16" ht="13.5" customHeight="1" x14ac:dyDescent="0.3">
      <c r="A560" s="1"/>
      <c r="B560" s="1" t="s">
        <v>4</v>
      </c>
      <c r="C560" s="1"/>
      <c r="D560" s="1"/>
      <c r="E560" s="1"/>
      <c r="F560" s="3">
        <f>VLOOKUP("VI",'[1]Raw Data'!$B$2:$O$102,3,FALSE)</f>
        <v>53</v>
      </c>
      <c r="G560" s="3"/>
      <c r="H560" s="3"/>
      <c r="I560" s="3">
        <f>VLOOKUP("VI",'[1]Raw Data'!$B$2:$O$102,4,FALSE)</f>
        <v>55</v>
      </c>
      <c r="J560" s="3"/>
      <c r="K560" s="3"/>
      <c r="L560" s="3">
        <f>VLOOKUP("VI",'[1]Raw Data'!$B$2:$O$102,5,FALSE)</f>
        <v>53</v>
      </c>
      <c r="M560" s="3"/>
      <c r="N560" s="3"/>
      <c r="O560" s="3">
        <f>VLOOKUP("VI",'[1]Raw Data'!$B$2:$O$102,6,FALSE)</f>
        <v>55</v>
      </c>
    </row>
    <row r="561" spans="1:15" ht="13.5" customHeight="1" x14ac:dyDescent="0.3">
      <c r="A561" s="1"/>
      <c r="B561" s="1" t="s">
        <v>3</v>
      </c>
      <c r="C561" s="1"/>
      <c r="D561" s="1"/>
      <c r="E561" s="1"/>
      <c r="F561" s="3">
        <f>VLOOKUP("VI",'[1]Raw Data'!$B$2:$O$102,7,FALSE)</f>
        <v>6</v>
      </c>
      <c r="G561" s="3"/>
      <c r="H561" s="3"/>
      <c r="I561" s="3">
        <f>VLOOKUP("VI",'[1]Raw Data'!$B$2:$O$102,8,FALSE)</f>
        <v>11</v>
      </c>
      <c r="J561" s="3"/>
      <c r="K561" s="3"/>
      <c r="L561" s="3">
        <f>VLOOKUP("VI",'[1]Raw Data'!$B$2:$O$102,9,FALSE)</f>
        <v>7</v>
      </c>
      <c r="M561" s="3"/>
      <c r="N561" s="3"/>
      <c r="O561" s="3">
        <f>VLOOKUP("VI",'[1]Raw Data'!$B$2:$O$102,10,FALSE)</f>
        <v>10</v>
      </c>
    </row>
    <row r="562" spans="1:15" ht="13.5" customHeight="1" x14ac:dyDescent="0.3">
      <c r="A562" s="1"/>
      <c r="B562" s="1" t="s">
        <v>2</v>
      </c>
      <c r="C562" s="1"/>
      <c r="D562" s="1"/>
      <c r="E562" s="1"/>
      <c r="F562" s="3">
        <f>VLOOKUP("VI",'[1]Raw Data'!$B$2:$O$102,11,FALSE)</f>
        <v>14</v>
      </c>
      <c r="G562" s="3"/>
      <c r="H562" s="3"/>
      <c r="I562" s="3">
        <f>VLOOKUP("VI",'[1]Raw Data'!$B$2:$O$102,12,FALSE)</f>
        <v>7</v>
      </c>
      <c r="J562" s="3"/>
      <c r="K562" s="3"/>
      <c r="L562" s="3">
        <f>VLOOKUP("VI",'[1]Raw Data'!$B$2:$O$102,13,FALSE)</f>
        <v>16</v>
      </c>
      <c r="M562" s="3"/>
      <c r="N562" s="3"/>
      <c r="O562" s="3">
        <f>VLOOKUP("VI",'[1]Raw Data'!$B$2:$O$102,14,FALSE)</f>
        <v>5</v>
      </c>
    </row>
    <row r="563" spans="1:15" ht="12" customHeight="1" x14ac:dyDescent="0.3"/>
    <row r="564" spans="1:15" ht="13.5" customHeight="1" x14ac:dyDescent="0.3">
      <c r="A564" s="1"/>
      <c r="B564" s="1"/>
      <c r="C564" s="5" t="str">
        <f>IF(VLOOKUP("VT",'[1]Raw Data'!$B$2:$O$102,2,FALSE)="CDO","VT"&amp;" "&amp;CHAR(178),"VT")</f>
        <v>VT</v>
      </c>
      <c r="D564" s="1"/>
      <c r="F564" s="4">
        <f>SUM(F565:F567)</f>
        <v>226</v>
      </c>
      <c r="G564" s="4"/>
      <c r="H564" s="4"/>
      <c r="I564" s="4">
        <f>SUM(I565:I567)</f>
        <v>173</v>
      </c>
      <c r="J564" s="4"/>
      <c r="K564" s="4"/>
      <c r="L564" s="4">
        <f>SUM(L565:L567)</f>
        <v>238</v>
      </c>
      <c r="M564" s="4"/>
      <c r="N564" s="4"/>
      <c r="O564" s="4">
        <f>SUM(O565:O567)</f>
        <v>161</v>
      </c>
    </row>
    <row r="565" spans="1:15" ht="13.5" customHeight="1" x14ac:dyDescent="0.3">
      <c r="A565" s="1"/>
      <c r="B565" s="1" t="s">
        <v>4</v>
      </c>
      <c r="C565" s="1"/>
      <c r="D565" s="1"/>
      <c r="E565" s="1"/>
      <c r="F565" s="3">
        <f>VLOOKUP("VT",'[1]Raw Data'!$B$2:$O$102,3,FALSE)</f>
        <v>77</v>
      </c>
      <c r="G565" s="3"/>
      <c r="H565" s="3"/>
      <c r="I565" s="3">
        <f>VLOOKUP("VT",'[1]Raw Data'!$B$2:$O$102,4,FALSE)</f>
        <v>78</v>
      </c>
      <c r="J565" s="3"/>
      <c r="K565" s="3"/>
      <c r="L565" s="3">
        <f>VLOOKUP("VT",'[1]Raw Data'!$B$2:$O$102,5,FALSE)</f>
        <v>83</v>
      </c>
      <c r="M565" s="3"/>
      <c r="N565" s="3"/>
      <c r="O565" s="3">
        <f>VLOOKUP("VT",'[1]Raw Data'!$B$2:$O$102,6,FALSE)</f>
        <v>72</v>
      </c>
    </row>
    <row r="566" spans="1:15" ht="13.5" customHeight="1" x14ac:dyDescent="0.3">
      <c r="A566" s="1"/>
      <c r="B566" s="1" t="s">
        <v>3</v>
      </c>
      <c r="C566" s="1"/>
      <c r="D566" s="1"/>
      <c r="E566" s="1"/>
      <c r="F566" s="3">
        <f>VLOOKUP("VT",'[1]Raw Data'!$B$2:$O$102,7,FALSE)</f>
        <v>14</v>
      </c>
      <c r="G566" s="3"/>
      <c r="H566" s="3"/>
      <c r="I566" s="3">
        <f>VLOOKUP("VT",'[1]Raw Data'!$B$2:$O$102,8,FALSE)</f>
        <v>8</v>
      </c>
      <c r="J566" s="3"/>
      <c r="K566" s="3"/>
      <c r="L566" s="3">
        <f>VLOOKUP("VT",'[1]Raw Data'!$B$2:$O$102,9,FALSE)</f>
        <v>16</v>
      </c>
      <c r="M566" s="3"/>
      <c r="N566" s="3"/>
      <c r="O566" s="3">
        <f>VLOOKUP("VT",'[1]Raw Data'!$B$2:$O$102,10,FALSE)</f>
        <v>6</v>
      </c>
    </row>
    <row r="567" spans="1:15" ht="13.5" customHeight="1" x14ac:dyDescent="0.3">
      <c r="A567" s="1"/>
      <c r="B567" s="1" t="s">
        <v>2</v>
      </c>
      <c r="C567" s="1"/>
      <c r="D567" s="1"/>
      <c r="E567" s="1"/>
      <c r="F567" s="3">
        <f>VLOOKUP("VT",'[1]Raw Data'!$B$2:$O$102,11,FALSE)</f>
        <v>135</v>
      </c>
      <c r="G567" s="3"/>
      <c r="H567" s="3"/>
      <c r="I567" s="3">
        <f>VLOOKUP("VT",'[1]Raw Data'!$B$2:$O$102,12,FALSE)</f>
        <v>87</v>
      </c>
      <c r="J567" s="3"/>
      <c r="K567" s="3"/>
      <c r="L567" s="3">
        <f>VLOOKUP("VT",'[1]Raw Data'!$B$2:$O$102,13,FALSE)</f>
        <v>139</v>
      </c>
      <c r="M567" s="3"/>
      <c r="N567" s="3"/>
      <c r="O567" s="3">
        <f>VLOOKUP("VT",'[1]Raw Data'!$B$2:$O$102,14,FALSE)</f>
        <v>83</v>
      </c>
    </row>
    <row r="568" spans="1:15" ht="12" customHeight="1" x14ac:dyDescent="0.3"/>
    <row r="569" spans="1:15" ht="13.5" customHeight="1" x14ac:dyDescent="0.3">
      <c r="A569" s="1"/>
      <c r="B569" s="1"/>
      <c r="C569" s="5" t="str">
        <f>IF(VLOOKUP("WA, E",'[1]Raw Data'!$B$2:$O$102,2,FALSE)="CDO","WA, E"&amp;" "&amp;CHAR(178),"WA, E")</f>
        <v>WA, E ²</v>
      </c>
      <c r="D569" s="1"/>
      <c r="F569" s="4">
        <f>SUM(F570:F572)</f>
        <v>477</v>
      </c>
      <c r="G569" s="4"/>
      <c r="H569" s="4"/>
      <c r="I569" s="4">
        <f>SUM(I570:I572)</f>
        <v>1060</v>
      </c>
      <c r="J569" s="4"/>
      <c r="K569" s="4"/>
      <c r="L569" s="4">
        <f>SUM(L570:L572)</f>
        <v>941</v>
      </c>
      <c r="M569" s="4"/>
      <c r="N569" s="4"/>
      <c r="O569" s="4">
        <f>SUM(O570:O572)</f>
        <v>596</v>
      </c>
    </row>
    <row r="570" spans="1:15" ht="13.5" customHeight="1" x14ac:dyDescent="0.3">
      <c r="A570" s="1"/>
      <c r="B570" s="1" t="s">
        <v>4</v>
      </c>
      <c r="C570" s="1"/>
      <c r="D570" s="1"/>
      <c r="E570" s="1"/>
      <c r="F570" s="3">
        <f>VLOOKUP("WA, E",'[1]Raw Data'!$B$2:$O$102,3,FALSE)</f>
        <v>218</v>
      </c>
      <c r="G570" s="3"/>
      <c r="H570" s="3"/>
      <c r="I570" s="3">
        <f>VLOOKUP("WA, E",'[1]Raw Data'!$B$2:$O$102,4,FALSE)</f>
        <v>253</v>
      </c>
      <c r="J570" s="3"/>
      <c r="K570" s="3"/>
      <c r="L570" s="3">
        <f>VLOOKUP("WA, E",'[1]Raw Data'!$B$2:$O$102,5,FALSE)</f>
        <v>208</v>
      </c>
      <c r="M570" s="3"/>
      <c r="N570" s="3"/>
      <c r="O570" s="3">
        <f>VLOOKUP("WA, E",'[1]Raw Data'!$B$2:$O$102,6,FALSE)</f>
        <v>263</v>
      </c>
    </row>
    <row r="571" spans="1:15" ht="13.5" customHeight="1" x14ac:dyDescent="0.3">
      <c r="A571" s="1"/>
      <c r="B571" s="1" t="s">
        <v>3</v>
      </c>
      <c r="C571" s="1"/>
      <c r="D571" s="1"/>
      <c r="E571" s="1"/>
      <c r="F571" s="3">
        <f>VLOOKUP("WA, E",'[1]Raw Data'!$B$2:$O$102,7,FALSE)</f>
        <v>31</v>
      </c>
      <c r="G571" s="3"/>
      <c r="H571" s="3"/>
      <c r="I571" s="3">
        <f>VLOOKUP("WA, E",'[1]Raw Data'!$B$2:$O$102,8,FALSE)</f>
        <v>26</v>
      </c>
      <c r="J571" s="3"/>
      <c r="K571" s="3"/>
      <c r="L571" s="3">
        <f>VLOOKUP("WA, E",'[1]Raw Data'!$B$2:$O$102,9,FALSE)</f>
        <v>26</v>
      </c>
      <c r="M571" s="3"/>
      <c r="N571" s="3"/>
      <c r="O571" s="3">
        <f>VLOOKUP("WA, E",'[1]Raw Data'!$B$2:$O$102,10,FALSE)</f>
        <v>31</v>
      </c>
    </row>
    <row r="572" spans="1:15" ht="13.5" customHeight="1" x14ac:dyDescent="0.3">
      <c r="A572" s="1"/>
      <c r="B572" s="1" t="s">
        <v>2</v>
      </c>
      <c r="C572" s="1"/>
      <c r="D572" s="1"/>
      <c r="E572" s="1"/>
      <c r="F572" s="3">
        <f>VLOOKUP("WA, E",'[1]Raw Data'!$B$2:$O$102,11,FALSE)</f>
        <v>228</v>
      </c>
      <c r="G572" s="3"/>
      <c r="H572" s="3"/>
      <c r="I572" s="3">
        <f>VLOOKUP("WA, E",'[1]Raw Data'!$B$2:$O$102,12,FALSE)</f>
        <v>781</v>
      </c>
      <c r="J572" s="3"/>
      <c r="K572" s="3"/>
      <c r="L572" s="3">
        <f>VLOOKUP("WA, E",'[1]Raw Data'!$B$2:$O$102,13,FALSE)</f>
        <v>707</v>
      </c>
      <c r="M572" s="3"/>
      <c r="N572" s="3"/>
      <c r="O572" s="3">
        <f>VLOOKUP("WA, E",'[1]Raw Data'!$B$2:$O$102,14,FALSE)</f>
        <v>302</v>
      </c>
    </row>
    <row r="573" spans="1:15" ht="12" customHeight="1" x14ac:dyDescent="0.3"/>
    <row r="574" spans="1:15" ht="13.5" customHeight="1" x14ac:dyDescent="0.3">
      <c r="A574" s="1"/>
      <c r="B574" s="1"/>
      <c r="C574" s="5" t="str">
        <f>IF(VLOOKUP("WA, W",'[1]Raw Data'!$B$2:$O$102,2,FALSE)="CDO","WA, W"&amp;" "&amp;CHAR(178),"WA, W")</f>
        <v>WA, W</v>
      </c>
      <c r="D574" s="1"/>
      <c r="F574" s="4">
        <f>SUM(F575:F577)</f>
        <v>483</v>
      </c>
      <c r="G574" s="4"/>
      <c r="H574" s="4"/>
      <c r="I574" s="4">
        <f>SUM(I575:I577)</f>
        <v>1001</v>
      </c>
      <c r="J574" s="4"/>
      <c r="K574" s="4"/>
      <c r="L574" s="4">
        <f>SUM(L575:L577)</f>
        <v>1045</v>
      </c>
      <c r="M574" s="4"/>
      <c r="N574" s="4"/>
      <c r="O574" s="4">
        <f>SUM(O575:O577)</f>
        <v>439</v>
      </c>
    </row>
    <row r="575" spans="1:15" ht="13.5" customHeight="1" x14ac:dyDescent="0.3">
      <c r="A575" s="1"/>
      <c r="B575" s="1" t="s">
        <v>4</v>
      </c>
      <c r="C575" s="1"/>
      <c r="D575" s="1"/>
      <c r="E575" s="1"/>
      <c r="F575" s="3">
        <f>VLOOKUP("WA, W",'[1]Raw Data'!$B$2:$O$102,3,FALSE)</f>
        <v>191</v>
      </c>
      <c r="G575" s="3"/>
      <c r="H575" s="3"/>
      <c r="I575" s="3">
        <f>VLOOKUP("WA, W",'[1]Raw Data'!$B$2:$O$102,4,FALSE)</f>
        <v>345</v>
      </c>
      <c r="J575" s="3"/>
      <c r="K575" s="3"/>
      <c r="L575" s="3">
        <f>VLOOKUP("WA, W",'[1]Raw Data'!$B$2:$O$102,5,FALSE)</f>
        <v>369</v>
      </c>
      <c r="M575" s="3"/>
      <c r="N575" s="3"/>
      <c r="O575" s="3">
        <f>VLOOKUP("WA, W",'[1]Raw Data'!$B$2:$O$102,6,FALSE)</f>
        <v>167</v>
      </c>
    </row>
    <row r="576" spans="1:15" ht="13.5" customHeight="1" x14ac:dyDescent="0.3">
      <c r="A576" s="1"/>
      <c r="B576" s="1" t="s">
        <v>3</v>
      </c>
      <c r="C576" s="1"/>
      <c r="D576" s="1"/>
      <c r="E576" s="1"/>
      <c r="F576" s="3">
        <f>VLOOKUP("WA, W",'[1]Raw Data'!$B$2:$O$102,7,FALSE)</f>
        <v>13</v>
      </c>
      <c r="G576" s="3"/>
      <c r="H576" s="3"/>
      <c r="I576" s="3">
        <f>VLOOKUP("WA, W",'[1]Raw Data'!$B$2:$O$102,8,FALSE)</f>
        <v>29</v>
      </c>
      <c r="J576" s="3"/>
      <c r="K576" s="3"/>
      <c r="L576" s="3">
        <f>VLOOKUP("WA, W",'[1]Raw Data'!$B$2:$O$102,9,FALSE)</f>
        <v>27</v>
      </c>
      <c r="M576" s="3"/>
      <c r="N576" s="3"/>
      <c r="O576" s="3">
        <f>VLOOKUP("WA, W",'[1]Raw Data'!$B$2:$O$102,10,FALSE)</f>
        <v>15</v>
      </c>
    </row>
    <row r="577" spans="1:16" ht="13.5" customHeight="1" x14ac:dyDescent="0.3">
      <c r="A577" s="1"/>
      <c r="B577" s="1" t="s">
        <v>2</v>
      </c>
      <c r="C577" s="1"/>
      <c r="D577" s="1"/>
      <c r="E577" s="1"/>
      <c r="F577" s="3">
        <f>VLOOKUP("WA, W",'[1]Raw Data'!$B$2:$O$102,11,FALSE)</f>
        <v>279</v>
      </c>
      <c r="G577" s="3"/>
      <c r="H577" s="3"/>
      <c r="I577" s="3">
        <f>VLOOKUP("WA, W",'[1]Raw Data'!$B$2:$O$102,12,FALSE)</f>
        <v>627</v>
      </c>
      <c r="J577" s="3"/>
      <c r="K577" s="3"/>
      <c r="L577" s="3">
        <f>VLOOKUP("WA, W",'[1]Raw Data'!$B$2:$O$102,13,FALSE)</f>
        <v>649</v>
      </c>
      <c r="M577" s="3"/>
      <c r="N577" s="3"/>
      <c r="O577" s="3">
        <f>VLOOKUP("WA, W",'[1]Raw Data'!$B$2:$O$102,14,FALSE)</f>
        <v>257</v>
      </c>
    </row>
    <row r="578" spans="1:16" ht="12" customHeight="1" x14ac:dyDescent="0.3"/>
    <row r="579" spans="1:16" ht="13.5" customHeight="1" x14ac:dyDescent="0.3">
      <c r="A579" s="1"/>
      <c r="B579" s="1"/>
      <c r="C579" s="5" t="str">
        <f>IF(VLOOKUP("TOT: WI, E/W",'[1]Raw Data'!$B$2:$O$102,2,FALSE)="CDO","TOT: WI, E/W"&amp;" "&amp;CHAR(178),"TOT: WI, E/W")</f>
        <v>TOT: WI, E/W ²</v>
      </c>
      <c r="D579" s="1"/>
      <c r="F579" s="4">
        <f>IF(SUM(F580:F582)-SUM(F584,F596)=0,SUM(F580:F582),"ERROR")</f>
        <v>422</v>
      </c>
      <c r="G579" s="4"/>
      <c r="H579" s="4"/>
      <c r="I579" s="4">
        <f>IF(SUM(I580:I582)-SUM(I584,I596)=0,SUM(I580:I582),"ERROR")</f>
        <v>590</v>
      </c>
      <c r="J579" s="4"/>
      <c r="K579" s="4"/>
      <c r="L579" s="4">
        <f>IF(SUM(L580:L582)-SUM(L584,L596)=0,SUM(L580:L582),"ERROR")</f>
        <v>634</v>
      </c>
      <c r="M579" s="4"/>
      <c r="N579" s="4"/>
      <c r="O579" s="4">
        <f>IF(SUM(O580:O582)-SUM(O584,O596)=0,SUM(O580:O582),"ERROR")</f>
        <v>376</v>
      </c>
    </row>
    <row r="580" spans="1:16" ht="13.5" customHeight="1" x14ac:dyDescent="0.3">
      <c r="A580" s="1"/>
      <c r="B580" s="1" t="s">
        <v>4</v>
      </c>
      <c r="C580" s="1"/>
      <c r="D580" s="1"/>
      <c r="E580" s="1"/>
      <c r="F580" s="3">
        <f>VLOOKUP("TOT: WI, E/W",'[1]Raw Data'!$B$2:$O$102,3,FALSE)</f>
        <v>215</v>
      </c>
      <c r="G580" s="3"/>
      <c r="H580" s="3"/>
      <c r="I580" s="3">
        <f>VLOOKUP("TOT: WI, E/W",'[1]Raw Data'!$B$2:$O$102,4,FALSE)</f>
        <v>247</v>
      </c>
      <c r="J580" s="3"/>
      <c r="K580" s="3"/>
      <c r="L580" s="3">
        <f>VLOOKUP("TOT: WI, E/W",'[1]Raw Data'!$B$2:$O$102,5,FALSE)</f>
        <v>257</v>
      </c>
      <c r="M580" s="3"/>
      <c r="N580" s="3"/>
      <c r="O580" s="3">
        <f>VLOOKUP("TOT: WI, E/W",'[1]Raw Data'!$B$2:$O$102,6,FALSE)</f>
        <v>205</v>
      </c>
    </row>
    <row r="581" spans="1:16" ht="13.5" customHeight="1" x14ac:dyDescent="0.3">
      <c r="A581" s="1"/>
      <c r="B581" s="1" t="s">
        <v>3</v>
      </c>
      <c r="C581" s="1"/>
      <c r="D581" s="1"/>
      <c r="E581" s="1"/>
      <c r="F581" s="3">
        <f>VLOOKUP("TOT: WI, E/W",'[1]Raw Data'!$B$2:$O$102,7,FALSE)</f>
        <v>18</v>
      </c>
      <c r="G581" s="3"/>
      <c r="H581" s="3"/>
      <c r="I581" s="3">
        <f>VLOOKUP("TOT: WI, E/W",'[1]Raw Data'!$B$2:$O$102,8,FALSE)</f>
        <v>27</v>
      </c>
      <c r="J581" s="3"/>
      <c r="K581" s="3"/>
      <c r="L581" s="3">
        <f>VLOOKUP("TOT: WI, E/W",'[1]Raw Data'!$B$2:$O$102,9,FALSE)</f>
        <v>28</v>
      </c>
      <c r="M581" s="3"/>
      <c r="N581" s="3"/>
      <c r="O581" s="3">
        <f>VLOOKUP("TOT: WI, E/W",'[1]Raw Data'!$B$2:$O$102,10,FALSE)</f>
        <v>17</v>
      </c>
    </row>
    <row r="582" spans="1:16" ht="13.5" customHeight="1" x14ac:dyDescent="0.3">
      <c r="A582" s="1"/>
      <c r="B582" s="1" t="s">
        <v>2</v>
      </c>
      <c r="C582" s="1"/>
      <c r="D582" s="1"/>
      <c r="E582" s="1"/>
      <c r="F582" s="3">
        <f>VLOOKUP("TOT: WI, E/W",'[1]Raw Data'!$B$2:$O$102,11,FALSE)</f>
        <v>189</v>
      </c>
      <c r="G582" s="3"/>
      <c r="H582" s="3"/>
      <c r="I582" s="3">
        <f>VLOOKUP("TOT: WI, E/W",'[1]Raw Data'!$B$2:$O$102,12,FALSE)</f>
        <v>316</v>
      </c>
      <c r="J582" s="3"/>
      <c r="K582" s="3"/>
      <c r="L582" s="3">
        <f>VLOOKUP("TOT: WI, E/W",'[1]Raw Data'!$B$2:$O$102,13,FALSE)</f>
        <v>349</v>
      </c>
      <c r="M582" s="3"/>
      <c r="N582" s="3"/>
      <c r="O582" s="3">
        <f>VLOOKUP("TOT: WI, E/W",'[1]Raw Data'!$B$2:$O$102,14,FALSE)</f>
        <v>154</v>
      </c>
    </row>
    <row r="583" spans="1:16" ht="12" customHeight="1" x14ac:dyDescent="0.3"/>
    <row r="584" spans="1:16" ht="13.5" customHeight="1" x14ac:dyDescent="0.3">
      <c r="A584" s="1"/>
      <c r="B584" s="1"/>
      <c r="C584" s="5" t="str">
        <f>IF(VLOOKUP("   WI, E",'[1]Raw Data'!$B$2:$O$102,2,FALSE)="CDO","WI, E"&amp;" "&amp;CHAR(178),"WI, E")</f>
        <v>WI, E ²</v>
      </c>
      <c r="D584" s="1"/>
      <c r="F584" s="4">
        <f>SUM(F585:F587)</f>
        <v>342</v>
      </c>
      <c r="G584" s="4"/>
      <c r="H584" s="4"/>
      <c r="I584" s="4">
        <f>SUM(I585:I587)</f>
        <v>440</v>
      </c>
      <c r="J584" s="4"/>
      <c r="K584" s="4"/>
      <c r="L584" s="4">
        <f>SUM(L585:L587)</f>
        <v>487</v>
      </c>
      <c r="M584" s="4"/>
      <c r="N584" s="4"/>
      <c r="O584" s="4">
        <f>SUM(O585:O587)</f>
        <v>295</v>
      </c>
    </row>
    <row r="585" spans="1:16" ht="13.5" customHeight="1" x14ac:dyDescent="0.3">
      <c r="A585" s="1"/>
      <c r="B585" s="1" t="s">
        <v>4</v>
      </c>
      <c r="C585" s="1"/>
      <c r="D585" s="1"/>
      <c r="E585" s="1"/>
      <c r="F585" s="3">
        <f>VLOOKUP("   WI, E",'[1]Raw Data'!$B$2:$O$102,3,FALSE)</f>
        <v>168</v>
      </c>
      <c r="G585" s="3"/>
      <c r="H585" s="3"/>
      <c r="I585" s="3">
        <f>VLOOKUP("   WI, E",'[1]Raw Data'!$B$2:$O$102,4,FALSE)</f>
        <v>171</v>
      </c>
      <c r="J585" s="3"/>
      <c r="K585" s="3"/>
      <c r="L585" s="3">
        <f>VLOOKUP("   WI, E",'[1]Raw Data'!$B$2:$O$102,5,FALSE)</f>
        <v>181</v>
      </c>
      <c r="M585" s="3"/>
      <c r="N585" s="3"/>
      <c r="O585" s="3">
        <f>VLOOKUP("   WI, E",'[1]Raw Data'!$B$2:$O$102,6,FALSE)</f>
        <v>159</v>
      </c>
    </row>
    <row r="586" spans="1:16" ht="13.5" customHeight="1" x14ac:dyDescent="0.3">
      <c r="A586" s="1"/>
      <c r="B586" s="1" t="s">
        <v>3</v>
      </c>
      <c r="C586" s="1"/>
      <c r="D586" s="1"/>
      <c r="E586" s="1"/>
      <c r="F586" s="3">
        <f>VLOOKUP("   WI, E",'[1]Raw Data'!$B$2:$O$102,7,FALSE)</f>
        <v>9</v>
      </c>
      <c r="G586" s="3"/>
      <c r="H586" s="3"/>
      <c r="I586" s="3">
        <f>VLOOKUP("   WI, E",'[1]Raw Data'!$B$2:$O$102,8,FALSE)</f>
        <v>11</v>
      </c>
      <c r="J586" s="3"/>
      <c r="K586" s="3"/>
      <c r="L586" s="3">
        <f>VLOOKUP("   WI, E",'[1]Raw Data'!$B$2:$O$102,9,FALSE)</f>
        <v>15</v>
      </c>
      <c r="M586" s="3"/>
      <c r="N586" s="3"/>
      <c r="O586" s="3">
        <f>VLOOKUP("   WI, E",'[1]Raw Data'!$B$2:$O$102,10,FALSE)</f>
        <v>5</v>
      </c>
    </row>
    <row r="587" spans="1:16" ht="13.5" customHeight="1" x14ac:dyDescent="0.3">
      <c r="A587" s="1"/>
      <c r="B587" s="1" t="s">
        <v>2</v>
      </c>
      <c r="C587" s="1"/>
      <c r="D587" s="1"/>
      <c r="E587" s="1"/>
      <c r="F587" s="3">
        <f>VLOOKUP("   WI, E",'[1]Raw Data'!$B$2:$O$102,11,FALSE)</f>
        <v>165</v>
      </c>
      <c r="G587" s="3"/>
      <c r="H587" s="3"/>
      <c r="I587" s="3">
        <f>VLOOKUP("   WI, E",'[1]Raw Data'!$B$2:$O$102,12,FALSE)</f>
        <v>258</v>
      </c>
      <c r="J587" s="3"/>
      <c r="K587" s="3"/>
      <c r="L587" s="3">
        <f>VLOOKUP("   WI, E",'[1]Raw Data'!$B$2:$O$102,13,FALSE)</f>
        <v>291</v>
      </c>
      <c r="M587" s="3"/>
      <c r="N587" s="3"/>
      <c r="O587" s="3">
        <f>VLOOKUP("   WI, E",'[1]Raw Data'!$B$2:$O$102,14,FALSE)</f>
        <v>131</v>
      </c>
    </row>
    <row r="588" spans="1:16" ht="12" customHeight="1" x14ac:dyDescent="0.3"/>
    <row r="589" spans="1:16" ht="12" customHeight="1" x14ac:dyDescent="0.3"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6" ht="15" customHeight="1" x14ac:dyDescent="0.3">
      <c r="A590" s="7" t="str">
        <f>"Table K-1. (September 30, "&amp;'[1]Raw Data'!$A$2&amp;"—Continued)"</f>
        <v>Table K-1. (September 30, 2022—Continued)</v>
      </c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6" ht="12" customHeight="1" x14ac:dyDescent="0.3"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6" ht="15" customHeight="1" x14ac:dyDescent="0.3">
      <c r="A592" s="11" t="s">
        <v>12</v>
      </c>
      <c r="B592" s="11"/>
      <c r="C592" s="11"/>
      <c r="D592" s="12"/>
      <c r="E592" s="10" t="s">
        <v>10</v>
      </c>
      <c r="F592" s="11"/>
      <c r="G592" s="12"/>
      <c r="H592" s="10" t="s">
        <v>11</v>
      </c>
      <c r="I592" s="11"/>
      <c r="J592" s="12"/>
      <c r="K592" s="10" t="s">
        <v>11</v>
      </c>
      <c r="L592" s="11"/>
      <c r="M592" s="12"/>
      <c r="N592" s="10" t="s">
        <v>10</v>
      </c>
      <c r="O592" s="11"/>
      <c r="P592" s="11"/>
    </row>
    <row r="593" spans="1:16" ht="13.5" customHeight="1" x14ac:dyDescent="0.3">
      <c r="A593" s="14" t="s">
        <v>9</v>
      </c>
      <c r="B593" s="14"/>
      <c r="C593" s="14"/>
      <c r="D593" s="15"/>
      <c r="E593" s="13" t="s">
        <v>8</v>
      </c>
      <c r="F593" s="14"/>
      <c r="G593" s="15"/>
      <c r="H593" s="13" t="s">
        <v>7</v>
      </c>
      <c r="I593" s="14"/>
      <c r="J593" s="15"/>
      <c r="K593" s="13" t="s">
        <v>6</v>
      </c>
      <c r="L593" s="14"/>
      <c r="M593" s="15"/>
      <c r="N593" s="13" t="s">
        <v>5</v>
      </c>
      <c r="O593" s="14"/>
      <c r="P593" s="14"/>
    </row>
    <row r="594" spans="1:16" ht="3.7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3.5" customHeight="1" x14ac:dyDescent="0.3"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6" x14ac:dyDescent="0.3">
      <c r="A596" s="1"/>
      <c r="B596" s="1"/>
      <c r="C596" s="5" t="str">
        <f>IF(VLOOKUP("   WI, W",'[1]Raw Data'!$B$2:$O$102,2,FALSE)="CDO","WI, W"&amp;" "&amp;CHAR(178),"WI, W")</f>
        <v>WI, W ²</v>
      </c>
      <c r="D596" s="1"/>
      <c r="F596" s="4">
        <f>SUM(F597:F599)</f>
        <v>80</v>
      </c>
      <c r="G596" s="4"/>
      <c r="H596" s="4"/>
      <c r="I596" s="4">
        <f>SUM(I597:I599)</f>
        <v>150</v>
      </c>
      <c r="J596" s="4"/>
      <c r="K596" s="4"/>
      <c r="L596" s="4">
        <f>SUM(L597:L599)</f>
        <v>147</v>
      </c>
      <c r="M596" s="4"/>
      <c r="N596" s="4"/>
      <c r="O596" s="4">
        <f>SUM(O597:O599)</f>
        <v>81</v>
      </c>
    </row>
    <row r="597" spans="1:16" x14ac:dyDescent="0.3">
      <c r="A597" s="1"/>
      <c r="B597" s="1" t="s">
        <v>4</v>
      </c>
      <c r="C597" s="1"/>
      <c r="D597" s="1"/>
      <c r="E597" s="1"/>
      <c r="F597" s="3">
        <f>VLOOKUP("   WI, W",'[1]Raw Data'!$B$2:$O$102,3,FALSE)</f>
        <v>47</v>
      </c>
      <c r="G597" s="3"/>
      <c r="H597" s="3"/>
      <c r="I597" s="3">
        <f>VLOOKUP("   WI, W",'[1]Raw Data'!$B$2:$O$102,4,FALSE)</f>
        <v>76</v>
      </c>
      <c r="J597" s="3"/>
      <c r="K597" s="3"/>
      <c r="L597" s="3">
        <f>VLOOKUP("   WI, W",'[1]Raw Data'!$B$2:$O$102,5,FALSE)</f>
        <v>76</v>
      </c>
      <c r="M597" s="3"/>
      <c r="N597" s="3"/>
      <c r="O597" s="3">
        <f>VLOOKUP("   WI, W",'[1]Raw Data'!$B$2:$O$102,6,FALSE)</f>
        <v>46</v>
      </c>
    </row>
    <row r="598" spans="1:16" x14ac:dyDescent="0.3">
      <c r="A598" s="1"/>
      <c r="B598" s="1" t="s">
        <v>3</v>
      </c>
      <c r="C598" s="1"/>
      <c r="D598" s="1"/>
      <c r="E598" s="1"/>
      <c r="F598" s="3">
        <f>VLOOKUP("   WI, W",'[1]Raw Data'!$B$2:$O$102,7,FALSE)</f>
        <v>9</v>
      </c>
      <c r="G598" s="3"/>
      <c r="H598" s="3"/>
      <c r="I598" s="3">
        <f>VLOOKUP("   WI, W",'[1]Raw Data'!$B$2:$O$102,8,FALSE)</f>
        <v>16</v>
      </c>
      <c r="J598" s="3"/>
      <c r="K598" s="3"/>
      <c r="L598" s="3">
        <f>VLOOKUP("   WI, W",'[1]Raw Data'!$B$2:$O$102,9,FALSE)</f>
        <v>13</v>
      </c>
      <c r="M598" s="3"/>
      <c r="N598" s="3"/>
      <c r="O598" s="3">
        <f>VLOOKUP("   WI, W",'[1]Raw Data'!$B$2:$O$102,10,FALSE)</f>
        <v>12</v>
      </c>
    </row>
    <row r="599" spans="1:16" x14ac:dyDescent="0.3">
      <c r="A599" s="1"/>
      <c r="B599" s="1" t="s">
        <v>2</v>
      </c>
      <c r="C599" s="1"/>
      <c r="D599" s="1"/>
      <c r="E599" s="1"/>
      <c r="F599" s="3">
        <f>VLOOKUP("   WI, W",'[1]Raw Data'!$B$2:$O$102,11,FALSE)</f>
        <v>24</v>
      </c>
      <c r="G599" s="3"/>
      <c r="H599" s="3"/>
      <c r="I599" s="3">
        <f>VLOOKUP("   WI, W",'[1]Raw Data'!$B$2:$O$102,12,FALSE)</f>
        <v>58</v>
      </c>
      <c r="J599" s="3"/>
      <c r="K599" s="3"/>
      <c r="L599" s="3">
        <f>VLOOKUP("   WI, W",'[1]Raw Data'!$B$2:$O$102,13,FALSE)</f>
        <v>58</v>
      </c>
      <c r="M599" s="3"/>
      <c r="N599" s="3"/>
      <c r="O599" s="3">
        <f>VLOOKUP("   WI, W",'[1]Raw Data'!$B$2:$O$102,14,FALSE)</f>
        <v>23</v>
      </c>
    </row>
    <row r="600" spans="1:16" ht="12" customHeight="1" x14ac:dyDescent="0.3"/>
    <row r="601" spans="1:16" x14ac:dyDescent="0.3">
      <c r="A601" s="1"/>
      <c r="B601" s="1"/>
      <c r="C601" s="5" t="str">
        <f>IF(VLOOKUP("WV, N",'[1]Raw Data'!$B$2:$O$102,2,FALSE)="CDO","WV, N"&amp;" "&amp;CHAR(178),"WV, N")</f>
        <v>WV, N</v>
      </c>
      <c r="D601" s="1"/>
      <c r="F601" s="4">
        <f>SUM(F602:F604)</f>
        <v>311</v>
      </c>
      <c r="G601" s="4"/>
      <c r="H601" s="4"/>
      <c r="I601" s="4">
        <f>SUM(I602:I604)</f>
        <v>395</v>
      </c>
      <c r="J601" s="4"/>
      <c r="K601" s="4"/>
      <c r="L601" s="4">
        <f>SUM(L602:L604)</f>
        <v>418</v>
      </c>
      <c r="M601" s="4"/>
      <c r="N601" s="4"/>
      <c r="O601" s="4">
        <f>SUM(O602:O604)</f>
        <v>288</v>
      </c>
    </row>
    <row r="602" spans="1:16" x14ac:dyDescent="0.3">
      <c r="A602" s="1"/>
      <c r="B602" s="1" t="s">
        <v>4</v>
      </c>
      <c r="C602" s="1"/>
      <c r="D602" s="1"/>
      <c r="E602" s="1"/>
      <c r="F602" s="3">
        <f>VLOOKUP("WV, N",'[1]Raw Data'!$B$2:$O$102,3,FALSE)</f>
        <v>150</v>
      </c>
      <c r="G602" s="3"/>
      <c r="H602" s="3"/>
      <c r="I602" s="3">
        <f>VLOOKUP("WV, N",'[1]Raw Data'!$B$2:$O$102,4,FALSE)</f>
        <v>167</v>
      </c>
      <c r="J602" s="3"/>
      <c r="K602" s="3"/>
      <c r="L602" s="3">
        <f>VLOOKUP("WV, N",'[1]Raw Data'!$B$2:$O$102,5,FALSE)</f>
        <v>189</v>
      </c>
      <c r="M602" s="3"/>
      <c r="N602" s="3"/>
      <c r="O602" s="3">
        <f>VLOOKUP("WV, N",'[1]Raw Data'!$B$2:$O$102,6,FALSE)</f>
        <v>128</v>
      </c>
    </row>
    <row r="603" spans="1:16" x14ac:dyDescent="0.3">
      <c r="A603" s="1"/>
      <c r="B603" s="1" t="s">
        <v>3</v>
      </c>
      <c r="C603" s="1"/>
      <c r="D603" s="1"/>
      <c r="E603" s="1"/>
      <c r="F603" s="3">
        <f>VLOOKUP("WV, N",'[1]Raw Data'!$B$2:$O$102,7,FALSE)</f>
        <v>17</v>
      </c>
      <c r="G603" s="3"/>
      <c r="H603" s="3"/>
      <c r="I603" s="3">
        <f>VLOOKUP("WV, N",'[1]Raw Data'!$B$2:$O$102,8,FALSE)</f>
        <v>33</v>
      </c>
      <c r="J603" s="3"/>
      <c r="K603" s="3"/>
      <c r="L603" s="3">
        <f>VLOOKUP("WV, N",'[1]Raw Data'!$B$2:$O$102,9,FALSE)</f>
        <v>18</v>
      </c>
      <c r="M603" s="3"/>
      <c r="N603" s="3"/>
      <c r="O603" s="3">
        <f>VLOOKUP("WV, N",'[1]Raw Data'!$B$2:$O$102,10,FALSE)</f>
        <v>32</v>
      </c>
    </row>
    <row r="604" spans="1:16" x14ac:dyDescent="0.3">
      <c r="A604" s="1"/>
      <c r="B604" s="1" t="s">
        <v>2</v>
      </c>
      <c r="C604" s="1"/>
      <c r="D604" s="1"/>
      <c r="E604" s="1"/>
      <c r="F604" s="3">
        <f>VLOOKUP("WV, N",'[1]Raw Data'!$B$2:$O$102,11,FALSE)</f>
        <v>144</v>
      </c>
      <c r="G604" s="3"/>
      <c r="H604" s="3"/>
      <c r="I604" s="3">
        <f>VLOOKUP("WV, N",'[1]Raw Data'!$B$2:$O$102,12,FALSE)</f>
        <v>195</v>
      </c>
      <c r="J604" s="3"/>
      <c r="K604" s="3"/>
      <c r="L604" s="3">
        <f>VLOOKUP("WV, N",'[1]Raw Data'!$B$2:$O$102,13,FALSE)</f>
        <v>211</v>
      </c>
      <c r="M604" s="3"/>
      <c r="N604" s="3"/>
      <c r="O604" s="3">
        <f>VLOOKUP("WV, N",'[1]Raw Data'!$B$2:$O$102,14,FALSE)</f>
        <v>128</v>
      </c>
    </row>
    <row r="605" spans="1:16" ht="12" customHeight="1" x14ac:dyDescent="0.3"/>
    <row r="606" spans="1:16" x14ac:dyDescent="0.3">
      <c r="A606" s="1"/>
      <c r="B606" s="1"/>
      <c r="C606" s="5" t="str">
        <f>IF(VLOOKUP("WV, S",'[1]Raw Data'!$B$2:$O$102,2,FALSE)="CDO","WV, S"&amp;" "&amp;CHAR(178),"WV, S")</f>
        <v>WV, S</v>
      </c>
      <c r="D606" s="1"/>
      <c r="F606" s="4">
        <f>SUM(F607:F609)</f>
        <v>210</v>
      </c>
      <c r="G606" s="4"/>
      <c r="H606" s="4"/>
      <c r="I606" s="4">
        <f>SUM(I607:I609)</f>
        <v>250</v>
      </c>
      <c r="J606" s="4"/>
      <c r="K606" s="4"/>
      <c r="L606" s="4">
        <f>SUM(L607:L609)</f>
        <v>206</v>
      </c>
      <c r="M606" s="4"/>
      <c r="N606" s="4"/>
      <c r="O606" s="4">
        <f>SUM(O607:O609)</f>
        <v>254</v>
      </c>
    </row>
    <row r="607" spans="1:16" x14ac:dyDescent="0.3">
      <c r="A607" s="1"/>
      <c r="B607" s="1" t="s">
        <v>4</v>
      </c>
      <c r="C607" s="1"/>
      <c r="D607" s="1"/>
      <c r="E607" s="1"/>
      <c r="F607" s="3">
        <f>VLOOKUP("WV, S",'[1]Raw Data'!$B$2:$O$102,3,FALSE)</f>
        <v>104</v>
      </c>
      <c r="G607" s="3"/>
      <c r="H607" s="3"/>
      <c r="I607" s="3">
        <f>VLOOKUP("WV, S",'[1]Raw Data'!$B$2:$O$102,4,FALSE)</f>
        <v>138</v>
      </c>
      <c r="J607" s="3"/>
      <c r="K607" s="3"/>
      <c r="L607" s="3">
        <f>VLOOKUP("WV, S",'[1]Raw Data'!$B$2:$O$102,5,FALSE)</f>
        <v>92</v>
      </c>
      <c r="M607" s="3"/>
      <c r="N607" s="3"/>
      <c r="O607" s="3">
        <f>VLOOKUP("WV, S",'[1]Raw Data'!$B$2:$O$102,6,FALSE)</f>
        <v>150</v>
      </c>
    </row>
    <row r="608" spans="1:16" x14ac:dyDescent="0.3">
      <c r="A608" s="1"/>
      <c r="B608" s="1" t="s">
        <v>3</v>
      </c>
      <c r="C608" s="1"/>
      <c r="D608" s="1"/>
      <c r="E608" s="1"/>
      <c r="F608" s="3">
        <f>VLOOKUP("WV, S",'[1]Raw Data'!$B$2:$O$102,7,FALSE)</f>
        <v>30</v>
      </c>
      <c r="G608" s="3"/>
      <c r="H608" s="3"/>
      <c r="I608" s="3">
        <f>VLOOKUP("WV, S",'[1]Raw Data'!$B$2:$O$102,8,FALSE)</f>
        <v>28</v>
      </c>
      <c r="J608" s="3"/>
      <c r="K608" s="3"/>
      <c r="L608" s="3">
        <f>VLOOKUP("WV, S",'[1]Raw Data'!$B$2:$O$102,9,FALSE)</f>
        <v>35</v>
      </c>
      <c r="M608" s="3"/>
      <c r="N608" s="3"/>
      <c r="O608" s="3">
        <f>VLOOKUP("WV, S",'[1]Raw Data'!$B$2:$O$102,10,FALSE)</f>
        <v>23</v>
      </c>
    </row>
    <row r="609" spans="1:15" x14ac:dyDescent="0.3">
      <c r="A609" s="1"/>
      <c r="B609" s="1" t="s">
        <v>2</v>
      </c>
      <c r="C609" s="1"/>
      <c r="D609" s="1"/>
      <c r="E609" s="1"/>
      <c r="F609" s="3">
        <f>VLOOKUP("WV, S",'[1]Raw Data'!$B$2:$O$102,11,FALSE)</f>
        <v>76</v>
      </c>
      <c r="G609" s="3"/>
      <c r="H609" s="3"/>
      <c r="I609" s="3">
        <f>VLOOKUP("WV, S",'[1]Raw Data'!$B$2:$O$102,12,FALSE)</f>
        <v>84</v>
      </c>
      <c r="J609" s="3"/>
      <c r="K609" s="3"/>
      <c r="L609" s="3">
        <f>VLOOKUP("WV, S",'[1]Raw Data'!$B$2:$O$102,13,FALSE)</f>
        <v>79</v>
      </c>
      <c r="M609" s="3"/>
      <c r="N609" s="3"/>
      <c r="O609" s="3">
        <f>VLOOKUP("WV, S",'[1]Raw Data'!$B$2:$O$102,14,FALSE)</f>
        <v>81</v>
      </c>
    </row>
    <row r="610" spans="1:15" ht="12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3">
      <c r="A611" s="1" t="s">
        <v>1</v>
      </c>
    </row>
    <row r="612" spans="1:15" x14ac:dyDescent="0.3">
      <c r="A612" s="1" t="s">
        <v>0</v>
      </c>
    </row>
  </sheetData>
  <mergeCells count="150">
    <mergeCell ref="A593:D593"/>
    <mergeCell ref="E593:G593"/>
    <mergeCell ref="H593:J593"/>
    <mergeCell ref="K593:M593"/>
    <mergeCell ref="N593:P593"/>
    <mergeCell ref="A592:D592"/>
    <mergeCell ref="E592:G592"/>
    <mergeCell ref="H592:J592"/>
    <mergeCell ref="K592:M592"/>
    <mergeCell ref="N592:P592"/>
    <mergeCell ref="A551:D551"/>
    <mergeCell ref="E551:G551"/>
    <mergeCell ref="H551:J551"/>
    <mergeCell ref="K551:M551"/>
    <mergeCell ref="N551:P551"/>
    <mergeCell ref="A550:D550"/>
    <mergeCell ref="E550:G550"/>
    <mergeCell ref="H550:J550"/>
    <mergeCell ref="K550:M550"/>
    <mergeCell ref="N550:P550"/>
    <mergeCell ref="A509:D509"/>
    <mergeCell ref="E509:G509"/>
    <mergeCell ref="H509:J509"/>
    <mergeCell ref="K509:M509"/>
    <mergeCell ref="N509:P509"/>
    <mergeCell ref="A508:D508"/>
    <mergeCell ref="E508:G508"/>
    <mergeCell ref="H508:J508"/>
    <mergeCell ref="K508:M508"/>
    <mergeCell ref="N508:P508"/>
    <mergeCell ref="A467:D467"/>
    <mergeCell ref="E467:G467"/>
    <mergeCell ref="H467:J467"/>
    <mergeCell ref="K467:M467"/>
    <mergeCell ref="N467:P467"/>
    <mergeCell ref="A466:D466"/>
    <mergeCell ref="E466:G466"/>
    <mergeCell ref="H466:J466"/>
    <mergeCell ref="K466:M466"/>
    <mergeCell ref="N466:P466"/>
    <mergeCell ref="A425:D425"/>
    <mergeCell ref="E425:G425"/>
    <mergeCell ref="H425:J425"/>
    <mergeCell ref="K425:M425"/>
    <mergeCell ref="N425:P425"/>
    <mergeCell ref="A424:D424"/>
    <mergeCell ref="E424:G424"/>
    <mergeCell ref="H424:J424"/>
    <mergeCell ref="K424:M424"/>
    <mergeCell ref="N424:P424"/>
    <mergeCell ref="A383:D383"/>
    <mergeCell ref="E383:G383"/>
    <mergeCell ref="H383:J383"/>
    <mergeCell ref="K383:M383"/>
    <mergeCell ref="N383:P383"/>
    <mergeCell ref="A382:D382"/>
    <mergeCell ref="E382:G382"/>
    <mergeCell ref="H382:J382"/>
    <mergeCell ref="K382:M382"/>
    <mergeCell ref="N382:P382"/>
    <mergeCell ref="A341:D341"/>
    <mergeCell ref="E341:G341"/>
    <mergeCell ref="H341:J341"/>
    <mergeCell ref="K341:M341"/>
    <mergeCell ref="N341:P341"/>
    <mergeCell ref="A340:D340"/>
    <mergeCell ref="E340:G340"/>
    <mergeCell ref="H340:J340"/>
    <mergeCell ref="K340:M340"/>
    <mergeCell ref="N340:P340"/>
    <mergeCell ref="A299:D299"/>
    <mergeCell ref="E299:G299"/>
    <mergeCell ref="H299:J299"/>
    <mergeCell ref="K299:M299"/>
    <mergeCell ref="N299:P299"/>
    <mergeCell ref="A298:D298"/>
    <mergeCell ref="E298:G298"/>
    <mergeCell ref="H298:J298"/>
    <mergeCell ref="K298:M298"/>
    <mergeCell ref="N298:P298"/>
    <mergeCell ref="A257:D257"/>
    <mergeCell ref="E257:G257"/>
    <mergeCell ref="H257:J257"/>
    <mergeCell ref="K257:M257"/>
    <mergeCell ref="N257:P257"/>
    <mergeCell ref="A256:D256"/>
    <mergeCell ref="E256:G256"/>
    <mergeCell ref="H256:J256"/>
    <mergeCell ref="K256:M256"/>
    <mergeCell ref="N256:P256"/>
    <mergeCell ref="A215:D215"/>
    <mergeCell ref="E215:G215"/>
    <mergeCell ref="H215:J215"/>
    <mergeCell ref="K215:M215"/>
    <mergeCell ref="N215:P215"/>
    <mergeCell ref="A214:D214"/>
    <mergeCell ref="E214:G214"/>
    <mergeCell ref="H214:J214"/>
    <mergeCell ref="K214:M214"/>
    <mergeCell ref="N214:P214"/>
    <mergeCell ref="A173:D173"/>
    <mergeCell ref="E173:G173"/>
    <mergeCell ref="H173:J173"/>
    <mergeCell ref="K173:M173"/>
    <mergeCell ref="N173:P173"/>
    <mergeCell ref="A172:D172"/>
    <mergeCell ref="E172:G172"/>
    <mergeCell ref="H172:J172"/>
    <mergeCell ref="K172:M172"/>
    <mergeCell ref="N172:P172"/>
    <mergeCell ref="A131:D131"/>
    <mergeCell ref="E131:G131"/>
    <mergeCell ref="H131:J131"/>
    <mergeCell ref="K131:M131"/>
    <mergeCell ref="N131:P131"/>
    <mergeCell ref="A130:D130"/>
    <mergeCell ref="E130:G130"/>
    <mergeCell ref="H130:J130"/>
    <mergeCell ref="K130:M130"/>
    <mergeCell ref="N130:P130"/>
    <mergeCell ref="A89:D89"/>
    <mergeCell ref="E89:G89"/>
    <mergeCell ref="H89:J89"/>
    <mergeCell ref="K89:M89"/>
    <mergeCell ref="N89:P89"/>
    <mergeCell ref="A88:D88"/>
    <mergeCell ref="E88:G88"/>
    <mergeCell ref="H88:J88"/>
    <mergeCell ref="K88:M88"/>
    <mergeCell ref="N88:P88"/>
    <mergeCell ref="A47:D47"/>
    <mergeCell ref="E47:G47"/>
    <mergeCell ref="H47:J47"/>
    <mergeCell ref="K47:M47"/>
    <mergeCell ref="N47:P47"/>
    <mergeCell ref="A46:D46"/>
    <mergeCell ref="E46:G46"/>
    <mergeCell ref="H46:J46"/>
    <mergeCell ref="K46:M46"/>
    <mergeCell ref="N46:P46"/>
    <mergeCell ref="K6:M6"/>
    <mergeCell ref="K7:M7"/>
    <mergeCell ref="N6:P6"/>
    <mergeCell ref="N7:P7"/>
    <mergeCell ref="A7:D7"/>
    <mergeCell ref="A6:D6"/>
    <mergeCell ref="E6:G6"/>
    <mergeCell ref="E7:G7"/>
    <mergeCell ref="H6:J6"/>
    <mergeCell ref="H7:J7"/>
  </mergeCells>
  <conditionalFormatting sqref="F75 I75 L75 O75 F154 I154 L154 O154 F228 I228 L228 O228 F243 I243 L243 O243 F312 I312 L312 O312 F354 I354 L354 O354">
    <cfRule type="cellIs" dxfId="1" priority="2" operator="equal">
      <formula>"ERROR"</formula>
    </cfRule>
  </conditionalFormatting>
  <conditionalFormatting sqref="F396 I396 L396 O396 F438 I438 L438 O438 F579 I579 L579 O579">
    <cfRule type="cellIs" dxfId="0" priority="1" operator="equal">
      <formula>"ERROR"</formula>
    </cfRule>
  </conditionalFormatting>
  <printOptions horizontalCentered="1"/>
  <pageMargins left="0.5" right="0.25" top="0.5" bottom="0.5" header="0.3" footer="0.3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Gibson</dc:creator>
  <cp:lastModifiedBy>Daniel Gibson</cp:lastModifiedBy>
  <dcterms:created xsi:type="dcterms:W3CDTF">2022-11-30T19:44:02Z</dcterms:created>
  <dcterms:modified xsi:type="dcterms:W3CDTF">2022-11-30T19:48:49Z</dcterms:modified>
</cp:coreProperties>
</file>